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E950D111-E08E-43BC-B22D-87A7F5C64894}" xr6:coauthVersionLast="47" xr6:coauthVersionMax="47" xr10:uidLastSave="{00000000-0000-0000-0000-000000000000}"/>
  <bookViews>
    <workbookView xWindow="2955" yWindow="1020" windowWidth="19695" windowHeight="13635" activeTab="1" xr2:uid="{59A50694-CE02-43AA-9A79-230E58E3805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" i="2" l="1"/>
  <c r="W25" i="2"/>
  <c r="X25" i="2"/>
  <c r="Y25" i="2"/>
  <c r="U25" i="2"/>
  <c r="V26" i="2"/>
  <c r="W26" i="2"/>
  <c r="X26" i="2"/>
  <c r="Y26" i="2"/>
  <c r="U26" i="2"/>
  <c r="V27" i="2"/>
  <c r="W27" i="2"/>
  <c r="X27" i="2" s="1"/>
  <c r="Y27" i="2" s="1"/>
  <c r="U27" i="2"/>
  <c r="U84" i="2"/>
  <c r="V84" i="2" s="1"/>
  <c r="W84" i="2" s="1"/>
  <c r="X84" i="2" s="1"/>
  <c r="Y84" i="2" s="1"/>
  <c r="R10" i="2"/>
  <c r="S10" i="2"/>
  <c r="B13" i="2"/>
  <c r="C13" i="2"/>
  <c r="D13" i="2"/>
  <c r="E13" i="2"/>
  <c r="F13" i="2"/>
  <c r="G13" i="2"/>
  <c r="H13" i="2"/>
  <c r="I13" i="2"/>
  <c r="T10" i="2"/>
  <c r="V97" i="2"/>
  <c r="V102" i="2" s="1"/>
  <c r="W97" i="2"/>
  <c r="X97" i="2" s="1"/>
  <c r="Y97" i="2" s="1"/>
  <c r="U85" i="2"/>
  <c r="V85" i="2" s="1"/>
  <c r="W85" i="2" s="1"/>
  <c r="X85" i="2" s="1"/>
  <c r="Y85" i="2" s="1"/>
  <c r="U102" i="2"/>
  <c r="J20" i="2"/>
  <c r="K20" i="2" s="1"/>
  <c r="L20" i="2" s="1"/>
  <c r="M20" i="2" s="1"/>
  <c r="J11" i="2"/>
  <c r="J15" i="2"/>
  <c r="K15" i="2" s="1"/>
  <c r="L15" i="2" s="1"/>
  <c r="M15" i="2" s="1"/>
  <c r="J16" i="2"/>
  <c r="K16" i="2" s="1"/>
  <c r="L16" i="2" s="1"/>
  <c r="M16" i="2" s="1"/>
  <c r="J17" i="2"/>
  <c r="J18" i="2"/>
  <c r="K18" i="2"/>
  <c r="L18" i="2" s="1"/>
  <c r="M18" i="2" s="1"/>
  <c r="K17" i="2"/>
  <c r="L17" i="2" s="1"/>
  <c r="M17" i="2" s="1"/>
  <c r="J102" i="2"/>
  <c r="J103" i="2" s="1"/>
  <c r="H10" i="2"/>
  <c r="I10" i="2"/>
  <c r="R13" i="2"/>
  <c r="S13" i="2"/>
  <c r="T13" i="2"/>
  <c r="S102" i="2"/>
  <c r="T102" i="2"/>
  <c r="R102" i="2"/>
  <c r="I102" i="2"/>
  <c r="C103" i="2"/>
  <c r="D103" i="2"/>
  <c r="E103" i="2"/>
  <c r="F103" i="2"/>
  <c r="G103" i="2"/>
  <c r="H103" i="2"/>
  <c r="K103" i="2"/>
  <c r="B103" i="2"/>
  <c r="I99" i="2"/>
  <c r="I98" i="2"/>
  <c r="I96" i="2"/>
  <c r="U36" i="2"/>
  <c r="V36" i="2" s="1"/>
  <c r="W36" i="2" s="1"/>
  <c r="X36" i="2" s="1"/>
  <c r="Y36" i="2" s="1"/>
  <c r="P19" i="2"/>
  <c r="P22" i="2" s="1"/>
  <c r="P45" i="2" s="1"/>
  <c r="Q19" i="2"/>
  <c r="Q22" i="2" s="1"/>
  <c r="Q45" i="2" s="1"/>
  <c r="R19" i="2"/>
  <c r="S19" i="2"/>
  <c r="T19" i="2"/>
  <c r="O19" i="2"/>
  <c r="O22" i="2" s="1"/>
  <c r="O45" i="2" s="1"/>
  <c r="C19" i="2"/>
  <c r="D19" i="2"/>
  <c r="E19" i="2"/>
  <c r="F19" i="2"/>
  <c r="G19" i="2"/>
  <c r="H19" i="2"/>
  <c r="I19" i="2"/>
  <c r="B19" i="2"/>
  <c r="I5" i="1"/>
  <c r="V31" i="2"/>
  <c r="W31" i="2" s="1"/>
  <c r="X31" i="2" s="1"/>
  <c r="Y31" i="2" s="1"/>
  <c r="E3" i="2"/>
  <c r="I3" i="2"/>
  <c r="I8" i="2"/>
  <c r="E8" i="2"/>
  <c r="D10" i="2"/>
  <c r="E10" i="2"/>
  <c r="S31" i="2"/>
  <c r="T31" i="2"/>
  <c r="F21" i="2"/>
  <c r="B21" i="2"/>
  <c r="T58" i="2"/>
  <c r="O27" i="2"/>
  <c r="O28" i="2" s="1"/>
  <c r="O56" i="2"/>
  <c r="P28" i="2"/>
  <c r="G21" i="2"/>
  <c r="C21" i="2"/>
  <c r="D21" i="2"/>
  <c r="H21" i="2"/>
  <c r="H36" i="2"/>
  <c r="T99" i="2"/>
  <c r="S99" i="2"/>
  <c r="R99" i="2"/>
  <c r="T98" i="2"/>
  <c r="S98" i="2"/>
  <c r="R98" i="2"/>
  <c r="S96" i="2"/>
  <c r="T96" i="2"/>
  <c r="R96" i="2"/>
  <c r="T47" i="2" l="1"/>
  <c r="J10" i="2"/>
  <c r="W102" i="2"/>
  <c r="X102" i="2"/>
  <c r="Y102" i="2"/>
  <c r="J13" i="2"/>
  <c r="S47" i="2"/>
  <c r="M6" i="2"/>
  <c r="M13" i="2"/>
  <c r="K13" i="2"/>
  <c r="L13" i="2"/>
  <c r="R47" i="2"/>
  <c r="I103" i="2"/>
  <c r="U20" i="2"/>
  <c r="V20" i="2" s="1"/>
  <c r="W20" i="2" s="1"/>
  <c r="X20" i="2" s="1"/>
  <c r="Y20" i="2" s="1"/>
  <c r="G22" i="2"/>
  <c r="E47" i="2"/>
  <c r="F22" i="2"/>
  <c r="J19" i="2"/>
  <c r="I47" i="2"/>
  <c r="B22" i="2"/>
  <c r="Q47" i="2"/>
  <c r="P47" i="2"/>
  <c r="H47" i="2"/>
  <c r="D47" i="2"/>
  <c r="C22" i="2"/>
  <c r="G47" i="2"/>
  <c r="F47" i="2"/>
  <c r="C47" i="2"/>
  <c r="D22" i="2"/>
  <c r="H22" i="2"/>
  <c r="J6" i="2"/>
  <c r="L6" i="2"/>
  <c r="K6" i="2"/>
  <c r="L48" i="2"/>
  <c r="M48" i="2"/>
  <c r="O24" i="2"/>
  <c r="O43" i="2" s="1"/>
  <c r="T103" i="2"/>
  <c r="R103" i="2"/>
  <c r="I75" i="2"/>
  <c r="I76" i="2" s="1"/>
  <c r="I65" i="2"/>
  <c r="I58" i="2"/>
  <c r="T75" i="2"/>
  <c r="S75" i="2"/>
  <c r="S76" i="2" s="1"/>
  <c r="T65" i="2"/>
  <c r="S65" i="2"/>
  <c r="S58" i="2"/>
  <c r="S56" i="2" s="1"/>
  <c r="T76" i="2" l="1"/>
  <c r="J47" i="2"/>
  <c r="T104" i="2"/>
  <c r="R104" i="2"/>
  <c r="S103" i="2"/>
  <c r="K19" i="2"/>
  <c r="U16" i="2"/>
  <c r="V16" i="2" s="1"/>
  <c r="U18" i="2"/>
  <c r="V18" i="2" s="1"/>
  <c r="W18" i="2" s="1"/>
  <c r="X18" i="2" s="1"/>
  <c r="Y18" i="2" s="1"/>
  <c r="U17" i="2"/>
  <c r="V17" i="2" s="1"/>
  <c r="W17" i="2" s="1"/>
  <c r="X17" i="2" s="1"/>
  <c r="Y17" i="2" s="1"/>
  <c r="O49" i="2"/>
  <c r="O29" i="2"/>
  <c r="O32" i="2" s="1"/>
  <c r="P24" i="2"/>
  <c r="P38" i="2"/>
  <c r="P49" i="2"/>
  <c r="I66" i="2"/>
  <c r="I77" i="2" s="1"/>
  <c r="I78" i="2" s="1"/>
  <c r="S66" i="2"/>
  <c r="S77" i="2" s="1"/>
  <c r="S78" i="2" s="1"/>
  <c r="T66" i="2"/>
  <c r="T77" i="2" s="1"/>
  <c r="C56" i="2"/>
  <c r="D56" i="2"/>
  <c r="E56" i="2"/>
  <c r="F56" i="2"/>
  <c r="G56" i="2"/>
  <c r="H56" i="2"/>
  <c r="I56" i="2"/>
  <c r="J30" i="2" s="1"/>
  <c r="B56" i="2"/>
  <c r="Q56" i="2"/>
  <c r="R56" i="2"/>
  <c r="P56" i="2"/>
  <c r="T56" i="2"/>
  <c r="U30" i="2" s="1"/>
  <c r="W16" i="2" l="1"/>
  <c r="V13" i="2"/>
  <c r="K47" i="2"/>
  <c r="U13" i="2"/>
  <c r="S104" i="2"/>
  <c r="L19" i="2"/>
  <c r="O44" i="2"/>
  <c r="T78" i="2"/>
  <c r="O40" i="2"/>
  <c r="O34" i="2"/>
  <c r="P43" i="2"/>
  <c r="P29" i="2"/>
  <c r="I21" i="2"/>
  <c r="E21" i="2"/>
  <c r="C28" i="2"/>
  <c r="D28" i="2"/>
  <c r="E28" i="2"/>
  <c r="F28" i="2"/>
  <c r="G28" i="2"/>
  <c r="H28" i="2"/>
  <c r="I28" i="2"/>
  <c r="D48" i="2"/>
  <c r="E48" i="2"/>
  <c r="F48" i="2"/>
  <c r="G48" i="2"/>
  <c r="H48" i="2"/>
  <c r="I48" i="2"/>
  <c r="J48" i="2"/>
  <c r="K48" i="2"/>
  <c r="C48" i="2"/>
  <c r="B28" i="2"/>
  <c r="E2" i="2"/>
  <c r="T48" i="2"/>
  <c r="S48" i="2"/>
  <c r="T21" i="2"/>
  <c r="T22" i="2" s="1"/>
  <c r="T45" i="2" s="1"/>
  <c r="S21" i="2"/>
  <c r="S22" i="2" s="1"/>
  <c r="S45" i="2" s="1"/>
  <c r="R21" i="2"/>
  <c r="R22" i="2" s="1"/>
  <c r="R45" i="2" s="1"/>
  <c r="Q28" i="2"/>
  <c r="T28" i="2"/>
  <c r="S28" i="2"/>
  <c r="R28" i="2"/>
  <c r="I2" i="2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I4" i="1"/>
  <c r="I7" i="1" s="1"/>
  <c r="X16" i="2" l="1"/>
  <c r="W13" i="2"/>
  <c r="I22" i="2"/>
  <c r="I45" i="2" s="1"/>
  <c r="J21" i="2"/>
  <c r="K21" i="2" s="1"/>
  <c r="L47" i="2"/>
  <c r="M19" i="2"/>
  <c r="U15" i="2"/>
  <c r="E4" i="2"/>
  <c r="E22" i="2"/>
  <c r="J22" i="2"/>
  <c r="I4" i="2"/>
  <c r="G24" i="2"/>
  <c r="D24" i="2"/>
  <c r="D43" i="2" s="1"/>
  <c r="C24" i="2"/>
  <c r="O42" i="2"/>
  <c r="P32" i="2"/>
  <c r="P44" i="2"/>
  <c r="Q24" i="2"/>
  <c r="Q43" i="2" s="1"/>
  <c r="S80" i="2"/>
  <c r="G38" i="2"/>
  <c r="H38" i="2"/>
  <c r="H24" i="2"/>
  <c r="U48" i="2"/>
  <c r="V48" i="2"/>
  <c r="R80" i="2"/>
  <c r="V15" i="2" l="1"/>
  <c r="U11" i="2"/>
  <c r="Y16" i="2"/>
  <c r="Y13" i="2" s="1"/>
  <c r="X13" i="2"/>
  <c r="L21" i="2"/>
  <c r="K22" i="2"/>
  <c r="K23" i="2" s="1"/>
  <c r="J59" i="2"/>
  <c r="M47" i="2"/>
  <c r="U19" i="2"/>
  <c r="U47" i="2" s="1"/>
  <c r="F38" i="2"/>
  <c r="K38" i="2"/>
  <c r="K39" i="2"/>
  <c r="B80" i="2"/>
  <c r="B49" i="2"/>
  <c r="I39" i="2"/>
  <c r="I49" i="2"/>
  <c r="B24" i="2"/>
  <c r="B43" i="2" s="1"/>
  <c r="G80" i="2"/>
  <c r="G49" i="2"/>
  <c r="C80" i="2"/>
  <c r="C49" i="2"/>
  <c r="F39" i="2"/>
  <c r="E49" i="2"/>
  <c r="E80" i="2"/>
  <c r="F80" i="2"/>
  <c r="F49" i="2"/>
  <c r="C39" i="2"/>
  <c r="D49" i="2"/>
  <c r="D80" i="2"/>
  <c r="F24" i="2"/>
  <c r="F43" i="2" s="1"/>
  <c r="G39" i="2"/>
  <c r="D39" i="2"/>
  <c r="H39" i="2"/>
  <c r="H49" i="2"/>
  <c r="H80" i="2"/>
  <c r="J49" i="2"/>
  <c r="J38" i="2"/>
  <c r="D29" i="2"/>
  <c r="D32" i="2" s="1"/>
  <c r="P34" i="2"/>
  <c r="P40" i="2"/>
  <c r="Q29" i="2"/>
  <c r="Q44" i="2" s="1"/>
  <c r="Q80" i="2"/>
  <c r="Q49" i="2"/>
  <c r="Q38" i="2"/>
  <c r="E24" i="2"/>
  <c r="E39" i="2"/>
  <c r="G29" i="2"/>
  <c r="G43" i="2"/>
  <c r="J39" i="2"/>
  <c r="C29" i="2"/>
  <c r="C43" i="2"/>
  <c r="H29" i="2"/>
  <c r="H43" i="2"/>
  <c r="I38" i="2"/>
  <c r="I80" i="2"/>
  <c r="T24" i="2"/>
  <c r="T43" i="2" s="1"/>
  <c r="U43" i="2" s="1"/>
  <c r="V43" i="2" s="1"/>
  <c r="W43" i="2" s="1"/>
  <c r="X43" i="2" s="1"/>
  <c r="Y43" i="2" s="1"/>
  <c r="T80" i="2"/>
  <c r="T38" i="2"/>
  <c r="T49" i="2"/>
  <c r="I24" i="2"/>
  <c r="S24" i="2"/>
  <c r="S49" i="2"/>
  <c r="R24" i="2"/>
  <c r="R43" i="2" s="1"/>
  <c r="R49" i="2"/>
  <c r="W48" i="2"/>
  <c r="S38" i="2"/>
  <c r="R38" i="2"/>
  <c r="X48" i="2"/>
  <c r="W15" i="2" l="1"/>
  <c r="V11" i="2"/>
  <c r="M21" i="2"/>
  <c r="M22" i="2" s="1"/>
  <c r="M23" i="2" s="1"/>
  <c r="L22" i="2"/>
  <c r="L38" i="2" s="1"/>
  <c r="J26" i="2"/>
  <c r="J27" i="2"/>
  <c r="J25" i="2"/>
  <c r="K26" i="2"/>
  <c r="K25" i="2"/>
  <c r="K27" i="2"/>
  <c r="K49" i="2"/>
  <c r="V19" i="2"/>
  <c r="V47" i="2" s="1"/>
  <c r="B29" i="2"/>
  <c r="B32" i="2" s="1"/>
  <c r="B34" i="2" s="1"/>
  <c r="B42" i="2" s="1"/>
  <c r="F29" i="2"/>
  <c r="F32" i="2" s="1"/>
  <c r="F34" i="2" s="1"/>
  <c r="U21" i="2"/>
  <c r="L49" i="2"/>
  <c r="D44" i="2"/>
  <c r="T29" i="2"/>
  <c r="T32" i="2" s="1"/>
  <c r="T34" i="2" s="1"/>
  <c r="T35" i="2" s="1"/>
  <c r="Q32" i="2"/>
  <c r="Q40" i="2" s="1"/>
  <c r="P42" i="2"/>
  <c r="H32" i="2"/>
  <c r="H44" i="2"/>
  <c r="C32" i="2"/>
  <c r="C44" i="2"/>
  <c r="I29" i="2"/>
  <c r="I43" i="2"/>
  <c r="G32" i="2"/>
  <c r="G44" i="2"/>
  <c r="E29" i="2"/>
  <c r="E43" i="2"/>
  <c r="D34" i="2"/>
  <c r="D40" i="2"/>
  <c r="R29" i="2"/>
  <c r="R44" i="2" s="1"/>
  <c r="S43" i="2"/>
  <c r="S29" i="2"/>
  <c r="X15" i="2" l="1"/>
  <c r="W11" i="2"/>
  <c r="U22" i="2"/>
  <c r="U59" i="2" s="1"/>
  <c r="L23" i="2"/>
  <c r="L39" i="2"/>
  <c r="F40" i="2"/>
  <c r="B40" i="2"/>
  <c r="F44" i="2"/>
  <c r="L27" i="2"/>
  <c r="L25" i="2"/>
  <c r="L26" i="2"/>
  <c r="V21" i="2"/>
  <c r="W21" i="2" s="1"/>
  <c r="X21" i="2" s="1"/>
  <c r="Y21" i="2" s="1"/>
  <c r="B82" i="2"/>
  <c r="B35" i="2"/>
  <c r="W19" i="2"/>
  <c r="W47" i="2" s="1"/>
  <c r="B44" i="2"/>
  <c r="T40" i="2"/>
  <c r="Q34" i="2"/>
  <c r="Q42" i="2" s="1"/>
  <c r="T44" i="2"/>
  <c r="M49" i="2"/>
  <c r="M38" i="2"/>
  <c r="M39" i="2"/>
  <c r="F42" i="2"/>
  <c r="F35" i="2"/>
  <c r="F82" i="2"/>
  <c r="D42" i="2"/>
  <c r="D35" i="2"/>
  <c r="D82" i="2"/>
  <c r="G34" i="2"/>
  <c r="G35" i="2" s="1"/>
  <c r="G40" i="2"/>
  <c r="I32" i="2"/>
  <c r="I44" i="2"/>
  <c r="C34" i="2"/>
  <c r="C35" i="2" s="1"/>
  <c r="C40" i="2"/>
  <c r="E32" i="2"/>
  <c r="E44" i="2"/>
  <c r="H34" i="2"/>
  <c r="H40" i="2"/>
  <c r="R32" i="2"/>
  <c r="R40" i="2" s="1"/>
  <c r="T42" i="2"/>
  <c r="T82" i="2"/>
  <c r="S32" i="2"/>
  <c r="S44" i="2"/>
  <c r="Y48" i="2"/>
  <c r="Y15" i="2" l="1"/>
  <c r="Y11" i="2" s="1"/>
  <c r="X11" i="2"/>
  <c r="V22" i="2"/>
  <c r="M25" i="2"/>
  <c r="M26" i="2"/>
  <c r="M27" i="2"/>
  <c r="Y19" i="2"/>
  <c r="X19" i="2"/>
  <c r="X47" i="2" s="1"/>
  <c r="U38" i="2"/>
  <c r="U49" i="2"/>
  <c r="W22" i="2"/>
  <c r="W59" i="2" s="1"/>
  <c r="H42" i="2"/>
  <c r="H35" i="2"/>
  <c r="H82" i="2"/>
  <c r="G42" i="2"/>
  <c r="G82" i="2"/>
  <c r="C42" i="2"/>
  <c r="C82" i="2"/>
  <c r="E34" i="2"/>
  <c r="E40" i="2"/>
  <c r="R34" i="2"/>
  <c r="I34" i="2"/>
  <c r="I40" i="2"/>
  <c r="R42" i="2"/>
  <c r="S40" i="2"/>
  <c r="S34" i="2"/>
  <c r="U70" i="2" l="1"/>
  <c r="U91" i="2"/>
  <c r="V91" i="2" s="1"/>
  <c r="U53" i="2"/>
  <c r="V53" i="2" s="1"/>
  <c r="U52" i="2"/>
  <c r="V52" i="2" s="1"/>
  <c r="U92" i="2"/>
  <c r="V92" i="2" s="1"/>
  <c r="U69" i="2"/>
  <c r="V69" i="2" s="1"/>
  <c r="U90" i="2"/>
  <c r="V90" i="2" s="1"/>
  <c r="U68" i="2"/>
  <c r="V68" i="2" s="1"/>
  <c r="U89" i="2"/>
  <c r="V89" i="2" s="1"/>
  <c r="U51" i="2"/>
  <c r="V51" i="2" s="1"/>
  <c r="U64" i="2"/>
  <c r="V64" i="2" s="1"/>
  <c r="U88" i="2"/>
  <c r="V88" i="2" s="1"/>
  <c r="U71" i="2"/>
  <c r="V71" i="2" s="1"/>
  <c r="U63" i="2"/>
  <c r="V63" i="2" s="1"/>
  <c r="U95" i="2"/>
  <c r="V95" i="2" s="1"/>
  <c r="U62" i="2"/>
  <c r="V62" i="2" s="1"/>
  <c r="U101" i="2"/>
  <c r="U94" i="2"/>
  <c r="V94" i="2" s="1"/>
  <c r="U61" i="2"/>
  <c r="V61" i="2" s="1"/>
  <c r="U100" i="2"/>
  <c r="V100" i="2" s="1"/>
  <c r="U87" i="2"/>
  <c r="V87" i="2" s="1"/>
  <c r="U60" i="2"/>
  <c r="V60" i="2" s="1"/>
  <c r="U86" i="2"/>
  <c r="V86" i="2" s="1"/>
  <c r="U74" i="2"/>
  <c r="V74" i="2" s="1"/>
  <c r="U93" i="2"/>
  <c r="V93" i="2" s="1"/>
  <c r="U73" i="2"/>
  <c r="V73" i="2" s="1"/>
  <c r="U54" i="2"/>
  <c r="V54" i="2" s="1"/>
  <c r="U72" i="2"/>
  <c r="V72" i="2" s="1"/>
  <c r="U98" i="2"/>
  <c r="V98" i="2" s="1"/>
  <c r="U99" i="2"/>
  <c r="V99" i="2" s="1"/>
  <c r="U65" i="2"/>
  <c r="V65" i="2" s="1"/>
  <c r="U75" i="2"/>
  <c r="V75" i="2" s="1"/>
  <c r="V38" i="2"/>
  <c r="V59" i="2"/>
  <c r="Y47" i="2"/>
  <c r="V49" i="2"/>
  <c r="X22" i="2"/>
  <c r="X59" i="2" s="1"/>
  <c r="I42" i="2"/>
  <c r="I35" i="2"/>
  <c r="I82" i="2"/>
  <c r="E42" i="2"/>
  <c r="E35" i="2"/>
  <c r="E82" i="2"/>
  <c r="R82" i="2"/>
  <c r="S42" i="2"/>
  <c r="S82" i="2"/>
  <c r="V101" i="2" l="1"/>
  <c r="V70" i="2"/>
  <c r="V76" i="2" s="1"/>
  <c r="W49" i="2"/>
  <c r="W38" i="2"/>
  <c r="W75" i="2" s="1"/>
  <c r="U28" i="2"/>
  <c r="W73" i="2" l="1"/>
  <c r="W88" i="2"/>
  <c r="W63" i="2"/>
  <c r="W91" i="2"/>
  <c r="W52" i="2"/>
  <c r="W95" i="2"/>
  <c r="W72" i="2"/>
  <c r="W61" i="2"/>
  <c r="W60" i="2"/>
  <c r="W101" i="2"/>
  <c r="W94" i="2"/>
  <c r="W53" i="2"/>
  <c r="W99" i="2"/>
  <c r="W68" i="2"/>
  <c r="W93" i="2"/>
  <c r="X93" i="2" s="1"/>
  <c r="W54" i="2"/>
  <c r="X54" i="2" s="1"/>
  <c r="W100" i="2"/>
  <c r="W98" i="2"/>
  <c r="W92" i="2"/>
  <c r="W86" i="2"/>
  <c r="X86" i="2" s="1"/>
  <c r="W89" i="2"/>
  <c r="X89" i="2" s="1"/>
  <c r="W87" i="2"/>
  <c r="X87" i="2" s="1"/>
  <c r="W71" i="2"/>
  <c r="X71" i="2" s="1"/>
  <c r="W69" i="2"/>
  <c r="X69" i="2" s="1"/>
  <c r="W65" i="2"/>
  <c r="X65" i="2" s="1"/>
  <c r="W90" i="2"/>
  <c r="W64" i="2"/>
  <c r="W74" i="2"/>
  <c r="W62" i="2"/>
  <c r="W70" i="2"/>
  <c r="W51" i="2"/>
  <c r="Y22" i="2"/>
  <c r="X49" i="2"/>
  <c r="X38" i="2"/>
  <c r="X75" i="2" s="1"/>
  <c r="X100" i="2" l="1"/>
  <c r="X99" i="2"/>
  <c r="X94" i="2"/>
  <c r="X52" i="2"/>
  <c r="X70" i="2"/>
  <c r="Y70" i="2" s="1"/>
  <c r="X74" i="2"/>
  <c r="X91" i="2"/>
  <c r="X63" i="2"/>
  <c r="X62" i="2"/>
  <c r="X95" i="2"/>
  <c r="X64" i="2"/>
  <c r="Y64" i="2" s="1"/>
  <c r="X90" i="2"/>
  <c r="Y90" i="2" s="1"/>
  <c r="X73" i="2"/>
  <c r="Y73" i="2" s="1"/>
  <c r="Y62" i="2"/>
  <c r="Y91" i="2"/>
  <c r="Y63" i="2"/>
  <c r="X61" i="2"/>
  <c r="Y38" i="2"/>
  <c r="Y75" i="2" s="1"/>
  <c r="Y59" i="2"/>
  <c r="X101" i="2"/>
  <c r="Y101" i="2" s="1"/>
  <c r="Y52" i="2"/>
  <c r="X92" i="2"/>
  <c r="X98" i="2"/>
  <c r="X88" i="2"/>
  <c r="X72" i="2"/>
  <c r="W76" i="2"/>
  <c r="X60" i="2"/>
  <c r="X68" i="2"/>
  <c r="X51" i="2"/>
  <c r="Y51" i="2" s="1"/>
  <c r="X53" i="2"/>
  <c r="Y53" i="2" s="1"/>
  <c r="Y49" i="2"/>
  <c r="Y61" i="2" l="1"/>
  <c r="Y98" i="2"/>
  <c r="Y60" i="2"/>
  <c r="Y95" i="2"/>
  <c r="Y88" i="2"/>
  <c r="Y69" i="2"/>
  <c r="Y92" i="2"/>
  <c r="Y94" i="2"/>
  <c r="Y86" i="2"/>
  <c r="Y72" i="2"/>
  <c r="Y74" i="2"/>
  <c r="Y89" i="2"/>
  <c r="Y87" i="2"/>
  <c r="Y99" i="2"/>
  <c r="Y100" i="2"/>
  <c r="Y54" i="2"/>
  <c r="Y65" i="2"/>
  <c r="Y71" i="2"/>
  <c r="Y93" i="2"/>
  <c r="X76" i="2"/>
  <c r="Y68" i="2"/>
  <c r="X28" i="2"/>
  <c r="W28" i="2"/>
  <c r="V28" i="2"/>
  <c r="Y28" i="2"/>
  <c r="V23" i="2"/>
  <c r="V24" i="2" s="1"/>
  <c r="Y76" i="2" l="1"/>
  <c r="V29" i="2"/>
  <c r="V44" i="2" s="1"/>
  <c r="W23" i="2" l="1"/>
  <c r="W24" i="2" s="1"/>
  <c r="W29" i="2" s="1"/>
  <c r="W44" i="2" l="1"/>
  <c r="Y23" i="2"/>
  <c r="Y24" i="2" s="1"/>
  <c r="Y29" i="2" s="1"/>
  <c r="X23" i="2"/>
  <c r="X24" i="2" s="1"/>
  <c r="X29" i="2" s="1"/>
  <c r="X44" i="2" l="1"/>
  <c r="Y44" i="2"/>
  <c r="J28" i="2" l="1"/>
  <c r="K28" i="2"/>
  <c r="M28" i="2" l="1"/>
  <c r="L28" i="2"/>
  <c r="M24" i="2"/>
  <c r="L24" i="2"/>
  <c r="L29" i="2" s="1"/>
  <c r="L44" i="2" s="1"/>
  <c r="J23" i="2"/>
  <c r="K24" i="2"/>
  <c r="K29" i="2" s="1"/>
  <c r="M29" i="2" l="1"/>
  <c r="M44" i="2" s="1"/>
  <c r="K32" i="2"/>
  <c r="K44" i="2"/>
  <c r="K33" i="2"/>
  <c r="K34" i="2" s="1"/>
  <c r="L32" i="2"/>
  <c r="U23" i="2"/>
  <c r="U24" i="2" s="1"/>
  <c r="U29" i="2" s="1"/>
  <c r="J24" i="2"/>
  <c r="J29" i="2" s="1"/>
  <c r="M32" i="2" l="1"/>
  <c r="K42" i="2"/>
  <c r="K35" i="2"/>
  <c r="K82" i="2"/>
  <c r="K83" i="2" s="1"/>
  <c r="U32" i="2"/>
  <c r="U44" i="2"/>
  <c r="J32" i="2"/>
  <c r="J44" i="2"/>
  <c r="L33" i="2"/>
  <c r="L34" i="2" s="1"/>
  <c r="L82" i="2" s="1"/>
  <c r="L83" i="2" s="1"/>
  <c r="M33" i="2"/>
  <c r="M34" i="2" s="1"/>
  <c r="M82" i="2" s="1"/>
  <c r="M83" i="2" s="1"/>
  <c r="L35" i="2" l="1"/>
  <c r="L42" i="2"/>
  <c r="M35" i="2"/>
  <c r="M42" i="2"/>
  <c r="J33" i="2"/>
  <c r="J34" i="2" s="1"/>
  <c r="J58" i="2" s="1"/>
  <c r="U33" i="2"/>
  <c r="U34" i="2" s="1"/>
  <c r="U56" i="2" l="1"/>
  <c r="U58" i="2"/>
  <c r="J56" i="2"/>
  <c r="K58" i="2"/>
  <c r="U82" i="2"/>
  <c r="U83" i="2" s="1"/>
  <c r="U42" i="2"/>
  <c r="U35" i="2"/>
  <c r="J82" i="2"/>
  <c r="J83" i="2" s="1"/>
  <c r="J35" i="2"/>
  <c r="J42" i="2"/>
  <c r="U66" i="2" l="1"/>
  <c r="K56" i="2"/>
  <c r="L58" i="2"/>
  <c r="V30" i="2"/>
  <c r="V32" i="2" s="1"/>
  <c r="M58" i="2" l="1"/>
  <c r="M56" i="2" s="1"/>
  <c r="L56" i="2"/>
  <c r="V33" i="2"/>
  <c r="V34" i="2" s="1"/>
  <c r="V56" i="2" l="1"/>
  <c r="V58" i="2"/>
  <c r="V42" i="2"/>
  <c r="V35" i="2"/>
  <c r="V82" i="2"/>
  <c r="V83" i="2" s="1"/>
  <c r="V66" i="2" l="1"/>
  <c r="V77" i="2" s="1"/>
  <c r="V78" i="2" s="1"/>
  <c r="W30" i="2"/>
  <c r="W32" i="2" s="1"/>
  <c r="W33" i="2" l="1"/>
  <c r="W34" i="2" s="1"/>
  <c r="W56" i="2" l="1"/>
  <c r="W58" i="2"/>
  <c r="W82" i="2"/>
  <c r="W83" i="2" s="1"/>
  <c r="W35" i="2"/>
  <c r="W42" i="2"/>
  <c r="W66" i="2" l="1"/>
  <c r="W77" i="2" s="1"/>
  <c r="W78" i="2" s="1"/>
  <c r="X30" i="2"/>
  <c r="X32" i="2" s="1"/>
  <c r="X33" i="2" l="1"/>
  <c r="X34" i="2" s="1"/>
  <c r="X56" i="2" l="1"/>
  <c r="X58" i="2"/>
  <c r="X42" i="2"/>
  <c r="X82" i="2"/>
  <c r="X83" i="2" s="1"/>
  <c r="X35" i="2"/>
  <c r="X66" i="2" l="1"/>
  <c r="X77" i="2" s="1"/>
  <c r="X78" i="2" s="1"/>
  <c r="Y30" i="2"/>
  <c r="Y32" i="2" s="1"/>
  <c r="Y33" i="2" l="1"/>
  <c r="Y34" i="2" s="1"/>
  <c r="Y56" i="2" l="1"/>
  <c r="Y58" i="2"/>
  <c r="Y66" i="2" s="1"/>
  <c r="Y77" i="2" s="1"/>
  <c r="Y78" i="2" s="1"/>
  <c r="Y42" i="2"/>
  <c r="Y82" i="2"/>
  <c r="Y83" i="2" s="1"/>
  <c r="Y35" i="2"/>
  <c r="Z34" i="2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EP34" i="2" s="1"/>
  <c r="EQ34" i="2" s="1"/>
  <c r="ER34" i="2" s="1"/>
  <c r="ES34" i="2" s="1"/>
  <c r="ET34" i="2" s="1"/>
  <c r="EU34" i="2" s="1"/>
  <c r="EV34" i="2" s="1"/>
  <c r="EW34" i="2" s="1"/>
  <c r="EX34" i="2" s="1"/>
  <c r="EY34" i="2" s="1"/>
  <c r="EZ34" i="2" s="1"/>
  <c r="FA34" i="2" s="1"/>
  <c r="FB34" i="2" s="1"/>
  <c r="FC34" i="2" s="1"/>
  <c r="FD34" i="2" s="1"/>
  <c r="FE34" i="2" s="1"/>
  <c r="FF34" i="2" s="1"/>
  <c r="FG34" i="2" s="1"/>
  <c r="FH34" i="2" s="1"/>
  <c r="FI34" i="2" s="1"/>
  <c r="FJ34" i="2" s="1"/>
  <c r="FK34" i="2" s="1"/>
  <c r="FL34" i="2" s="1"/>
  <c r="FM34" i="2" s="1"/>
  <c r="FN34" i="2" s="1"/>
  <c r="FO34" i="2" s="1"/>
  <c r="FP34" i="2" s="1"/>
  <c r="FQ34" i="2" s="1"/>
  <c r="FR34" i="2" s="1"/>
  <c r="FS34" i="2" s="1"/>
  <c r="FT34" i="2" s="1"/>
  <c r="FU34" i="2" s="1"/>
  <c r="FV34" i="2" s="1"/>
  <c r="FW34" i="2" s="1"/>
  <c r="FX34" i="2" s="1"/>
  <c r="FY34" i="2" s="1"/>
  <c r="FZ34" i="2" s="1"/>
  <c r="GA34" i="2" s="1"/>
  <c r="GB34" i="2" s="1"/>
  <c r="GC34" i="2" s="1"/>
  <c r="GD34" i="2" s="1"/>
  <c r="GE34" i="2" s="1"/>
  <c r="GF34" i="2" s="1"/>
  <c r="GG34" i="2" s="1"/>
  <c r="GH34" i="2" s="1"/>
  <c r="GI34" i="2" s="1"/>
  <c r="GJ34" i="2" s="1"/>
  <c r="GK34" i="2" s="1"/>
  <c r="GL34" i="2" s="1"/>
  <c r="GM34" i="2" s="1"/>
  <c r="GN34" i="2" s="1"/>
  <c r="GO34" i="2" s="1"/>
  <c r="GP34" i="2" s="1"/>
  <c r="GQ34" i="2" s="1"/>
  <c r="GR34" i="2" s="1"/>
  <c r="GS34" i="2" s="1"/>
  <c r="GT34" i="2" s="1"/>
  <c r="GU34" i="2" s="1"/>
  <c r="GV34" i="2" s="1"/>
  <c r="GW34" i="2" s="1"/>
  <c r="GX34" i="2" s="1"/>
  <c r="GY34" i="2" s="1"/>
  <c r="GZ34" i="2" s="1"/>
  <c r="HA34" i="2" s="1"/>
  <c r="HB34" i="2" s="1"/>
  <c r="HC34" i="2" s="1"/>
  <c r="HD34" i="2" s="1"/>
  <c r="HE34" i="2" s="1"/>
  <c r="HF34" i="2" s="1"/>
  <c r="HG34" i="2" s="1"/>
  <c r="HH34" i="2" s="1"/>
  <c r="HI34" i="2" s="1"/>
  <c r="HJ34" i="2" s="1"/>
  <c r="HK34" i="2" s="1"/>
  <c r="K59" i="2" l="1"/>
  <c r="L59" i="2"/>
  <c r="M59" i="2"/>
  <c r="W96" i="2" l="1"/>
  <c r="W103" i="2" s="1"/>
  <c r="W104" i="2" s="1"/>
  <c r="U96" i="2"/>
  <c r="U103" i="2" s="1"/>
  <c r="U45" i="2" s="1"/>
  <c r="U76" i="2" s="1"/>
  <c r="U77" i="2" s="1"/>
  <c r="U78" i="2" s="1"/>
  <c r="V96" i="2"/>
  <c r="V103" i="2" s="1"/>
  <c r="W45" i="2" l="1"/>
  <c r="V45" i="2"/>
  <c r="V104" i="2"/>
  <c r="X96" i="2"/>
  <c r="X103" i="2" s="1"/>
  <c r="Y96" i="2"/>
  <c r="Y103" i="2" s="1"/>
  <c r="U104" i="2"/>
  <c r="Y45" i="2" l="1"/>
  <c r="Z103" i="2"/>
  <c r="Y104" i="2"/>
  <c r="X45" i="2"/>
  <c r="X104" i="2"/>
  <c r="AA103" i="2" l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BU103" i="2" s="1"/>
  <c r="BV103" i="2" s="1"/>
  <c r="BW103" i="2" s="1"/>
  <c r="BX103" i="2" s="1"/>
  <c r="BY103" i="2" s="1"/>
  <c r="BZ103" i="2" s="1"/>
  <c r="CA103" i="2" s="1"/>
  <c r="CB103" i="2" s="1"/>
  <c r="CC103" i="2" s="1"/>
  <c r="CD103" i="2" s="1"/>
  <c r="CE103" i="2" s="1"/>
  <c r="CF103" i="2" s="1"/>
  <c r="CG103" i="2" s="1"/>
  <c r="CH103" i="2" s="1"/>
  <c r="CI103" i="2" s="1"/>
  <c r="CJ103" i="2" s="1"/>
  <c r="CK103" i="2" s="1"/>
  <c r="CL103" i="2" s="1"/>
  <c r="CM103" i="2" s="1"/>
  <c r="CN103" i="2" s="1"/>
  <c r="CO103" i="2" s="1"/>
  <c r="CP103" i="2" s="1"/>
  <c r="CQ103" i="2" s="1"/>
  <c r="CR103" i="2" s="1"/>
  <c r="CS103" i="2" s="1"/>
  <c r="CT103" i="2" s="1"/>
  <c r="CU103" i="2" s="1"/>
  <c r="CV103" i="2" s="1"/>
  <c r="CW103" i="2" s="1"/>
  <c r="CX103" i="2" s="1"/>
  <c r="CY103" i="2" s="1"/>
  <c r="CZ103" i="2" s="1"/>
  <c r="DA103" i="2" s="1"/>
  <c r="DB103" i="2" s="1"/>
  <c r="DC103" i="2" s="1"/>
  <c r="DD103" i="2" s="1"/>
  <c r="DE103" i="2" s="1"/>
  <c r="DF103" i="2" s="1"/>
  <c r="DG103" i="2" s="1"/>
  <c r="DH103" i="2" s="1"/>
  <c r="DI103" i="2" s="1"/>
  <c r="DJ103" i="2" s="1"/>
  <c r="DK103" i="2" s="1"/>
  <c r="DL103" i="2" s="1"/>
  <c r="DM103" i="2" s="1"/>
  <c r="DN103" i="2" s="1"/>
  <c r="DO103" i="2" s="1"/>
  <c r="DP103" i="2" s="1"/>
  <c r="DQ103" i="2" s="1"/>
  <c r="DR103" i="2" s="1"/>
  <c r="DS103" i="2" s="1"/>
  <c r="DT103" i="2" s="1"/>
  <c r="DU103" i="2" s="1"/>
  <c r="DV103" i="2" s="1"/>
  <c r="DW103" i="2" s="1"/>
  <c r="DX103" i="2" s="1"/>
  <c r="DY103" i="2" s="1"/>
  <c r="DZ103" i="2" s="1"/>
  <c r="EA103" i="2" s="1"/>
  <c r="EB103" i="2" s="1"/>
  <c r="EC103" i="2" s="1"/>
  <c r="ED103" i="2" s="1"/>
  <c r="EE103" i="2" s="1"/>
  <c r="EF103" i="2" s="1"/>
  <c r="EG103" i="2" s="1"/>
  <c r="EH103" i="2" s="1"/>
  <c r="EI103" i="2" s="1"/>
  <c r="EJ103" i="2" s="1"/>
  <c r="EK103" i="2" s="1"/>
  <c r="EL103" i="2" s="1"/>
  <c r="EM103" i="2" s="1"/>
  <c r="EN103" i="2" s="1"/>
  <c r="EO103" i="2" s="1"/>
  <c r="EP103" i="2" s="1"/>
  <c r="EQ103" i="2" s="1"/>
  <c r="ER103" i="2" s="1"/>
  <c r="ES103" i="2" s="1"/>
  <c r="ET103" i="2" s="1"/>
  <c r="EU103" i="2" s="1"/>
  <c r="EV103" i="2" s="1"/>
  <c r="EW103" i="2" s="1"/>
  <c r="EX103" i="2" s="1"/>
  <c r="EY103" i="2" s="1"/>
  <c r="EZ103" i="2" s="1"/>
  <c r="FA103" i="2" s="1"/>
  <c r="FB103" i="2" s="1"/>
  <c r="FC103" i="2" s="1"/>
  <c r="FD103" i="2" s="1"/>
  <c r="FE103" i="2" s="1"/>
  <c r="FF103" i="2" s="1"/>
  <c r="AB99" i="2" l="1"/>
  <c r="AB100" i="2" s="1"/>
  <c r="AB10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tc={BBA5EC10-660F-4668-82DF-4AE7F04E7042}</author>
    <author>tc={1BE046AC-F3FB-43EE-AECA-81905FEF9CD1}</author>
    <author>tc={48472E7E-10B8-4095-8B32-362E14E59AC2}</author>
    <author>tc={4C15ACA3-2BFB-48FE-85C1-4875F9329530}</author>
  </authors>
  <commentList>
    <comment ref="B6" authorId="0" shapeId="0" xr:uid="{BBA5EC10-660F-4668-82DF-4AE7F04E70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Petco used Demand Gen campaigns across targeting, creative generation and bidding to find new pet parent audiences across YouTube. They achieved a 275% higher return on ad spend and a 74% higher click through rate than their social benchmarks.
</t>
      </text>
    </comment>
    <comment ref="B7" authorId="1" shapeId="0" xr:uid="{1BE046AC-F3FB-43EE-AECA-81905FEF9C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the Nielsen meta analysis of marketing mixed models, on average, Google AI-powered video campaigns on YouTube deliver 17% higher return on advertising spend than manual campaigns.
</t>
      </text>
    </comment>
    <comment ref="B8" authorId="2" shapeId="0" xr:uid="{48472E7E-10B8-4095-8B32-362E14E59A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First, the increase in our investment in CapEx over the past few years will increase pressure on the P&amp;L, primarily in the form of higher depreciation. 
Reply:
    Given the increasing CapEx investments over the past few years, we expect the growth rate in depreciation to accelerate in 2025.
</t>
      </text>
    </comment>
    <comment ref="B13" authorId="3" shapeId="0" xr:uid="{4C15ACA3-2BFB-48FE-85C1-4875F93295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Using asset generation in PMax, Event Tickets Center achieved a 5 times increase in production of creative assets, saving time and effort. They also increased conversions by 300% compared to the previous period when they used manual assets.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tc={6FF532F1-830D-4259-9AB9-82FDC064399F}</author>
    <author>tc={B99DE3B8-CC20-4BAA-9DF2-73E63E2833F9}</author>
    <author>tc={DA029D8C-EB1E-4E9F-9C18-38930E694876}</author>
    <author>tc={3B68AEFE-707F-4EB5-AB45-6DCA4A93072B}</author>
    <author>tc={B2A26FD5-756A-4436-88C9-DC45B78A3F12}</author>
    <author>tc={50D81D40-768D-4E6C-B865-C43BC614BF3C}</author>
  </authors>
  <commentList>
    <comment ref="N6" authorId="0" shapeId="0" xr:uid="{6FF532F1-830D-4259-9AB9-82FDC06439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Normalized </t>
      </text>
    </comment>
    <comment ref="U13" authorId="1" shapeId="0" xr:uid="{B99DE3B8-CC20-4BAA-9DF2-73E63E2833F9}">
      <text>
        <t>[Threaded comment]
Your version of Excel allows you to read this threaded comment; however, any edits to it will get removed if the file is opened in a newer version of Excel. Learn more: https://go.microsoft.com/fwlink/?linkid=870924
Comment:
    “YT &amp; Cloud exit 2024 at a annual run rate of 110B”</t>
      </text>
    </comment>
    <comment ref="V20" authorId="2" shapeId="0" xr:uid="{DA029D8C-EB1E-4E9F-9C18-38930E694876}">
      <text>
        <t>[Threaded comment]
Your version of Excel allows you to read this threaded comment; however, any edits to it will get removed if the file is opened in a newer version of Excel. Learn more: https://go.microsoft.com/fwlink/?linkid=870924
Comment:
    Cloud CAGR 20%</t>
      </text>
    </comment>
    <comment ref="J73" authorId="3" shapeId="0" xr:uid="{3B68AEFE-707F-4EB5-AB45-6DCA4A93072B}">
      <text>
        <t>[Threaded comment]
Your version of Excel allows you to read this threaded comment; however, any edits to it will get removed if the file is opened in a newer version of Excel. Learn more: https://go.microsoft.com/fwlink/?linkid=870924
Comment:
    "16B-18B Debt 1st Quarter"</t>
      </text>
    </comment>
    <comment ref="J100" authorId="4" shapeId="0" xr:uid="{B2A26FD5-756A-4436-88C9-DC45B78A3F12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Acquisition of Wiz</t>
      </text>
    </comment>
    <comment ref="U102" authorId="5" shapeId="0" xr:uid="{50D81D40-768D-4E6C-B865-C43BC614BF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75 bil in CAPEX 2025”</t>
      </text>
    </comment>
  </commentList>
</comments>
</file>

<file path=xl/sharedStrings.xml><?xml version="1.0" encoding="utf-8"?>
<sst xmlns="http://schemas.openxmlformats.org/spreadsheetml/2006/main" count="140" uniqueCount="123">
  <si>
    <t>GOOGL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</si>
  <si>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</si>
  <si>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</si>
  <si>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</si>
  <si>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</si>
  <si>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</si>
  <si>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</si>
  <si>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</si>
  <si>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</si>
  <si>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</si>
  <si>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R&amp;D</t>
  </si>
  <si>
    <t>S&amp;M</t>
  </si>
  <si>
    <t>G&amp;A</t>
  </si>
  <si>
    <t>Interest</t>
  </si>
  <si>
    <t>Other</t>
  </si>
  <si>
    <t>Tax</t>
  </si>
  <si>
    <t>Pretax Income</t>
  </si>
  <si>
    <t>Net Income</t>
  </si>
  <si>
    <t>Gross Margin</t>
  </si>
  <si>
    <t>Operating Margin</t>
  </si>
  <si>
    <t>CFFO</t>
  </si>
  <si>
    <t>FCF</t>
  </si>
  <si>
    <t>Q124</t>
  </si>
  <si>
    <t>Q224</t>
  </si>
  <si>
    <t>Q324</t>
  </si>
  <si>
    <t>Q424</t>
  </si>
  <si>
    <t>Q125</t>
  </si>
  <si>
    <t>Q225</t>
  </si>
  <si>
    <t>NPV</t>
  </si>
  <si>
    <t>Maturity</t>
  </si>
  <si>
    <t>Discount</t>
  </si>
  <si>
    <t>Diff</t>
  </si>
  <si>
    <t>Tax Rate</t>
  </si>
  <si>
    <t>Google Search</t>
  </si>
  <si>
    <t>YouTube Ads</t>
  </si>
  <si>
    <t>Google Network</t>
  </si>
  <si>
    <t>Google Cloud</t>
  </si>
  <si>
    <t>Subscriptions, Devices</t>
  </si>
  <si>
    <t>Google Cloud Growth</t>
  </si>
  <si>
    <t>Q123</t>
  </si>
  <si>
    <t>Q223</t>
  </si>
  <si>
    <t>Q323</t>
  </si>
  <si>
    <t>Q423</t>
  </si>
  <si>
    <t>Revenue Growth y/y</t>
  </si>
  <si>
    <t>Revenue Growth q/q</t>
  </si>
  <si>
    <t>Net Margin</t>
  </si>
  <si>
    <t>AR</t>
  </si>
  <si>
    <t>AP</t>
  </si>
  <si>
    <t>Operating Income</t>
  </si>
  <si>
    <t>Operating Expenses</t>
  </si>
  <si>
    <t>PP&amp;E</t>
  </si>
  <si>
    <t>EPS</t>
  </si>
  <si>
    <t>Compensation</t>
  </si>
  <si>
    <t>Cloud % of Rev</t>
  </si>
  <si>
    <t>Net Cash</t>
  </si>
  <si>
    <t>ROIC</t>
  </si>
  <si>
    <t>DSO</t>
  </si>
  <si>
    <t>Model NI</t>
  </si>
  <si>
    <t>Reported NI</t>
  </si>
  <si>
    <t>Assets</t>
  </si>
  <si>
    <t>Liabilities</t>
  </si>
  <si>
    <t>SE</t>
  </si>
  <si>
    <t>L+SE</t>
  </si>
  <si>
    <t>Non-marketable Securities</t>
  </si>
  <si>
    <t>Deferred Tax</t>
  </si>
  <si>
    <t>Operating Lease Assets</t>
  </si>
  <si>
    <t>Goodwill</t>
  </si>
  <si>
    <t>Expenses</t>
  </si>
  <si>
    <t>Revenue Share</t>
  </si>
  <si>
    <t>Deferred Revenue</t>
  </si>
  <si>
    <t>Operating + Other Liabilities</t>
  </si>
  <si>
    <t>Noncurrent Tax</t>
  </si>
  <si>
    <t>D&amp;A</t>
  </si>
  <si>
    <t>Stock Compensation</t>
  </si>
  <si>
    <t>Gain on Securities</t>
  </si>
  <si>
    <t>Other Assets</t>
  </si>
  <si>
    <t>Accured Expenses</t>
  </si>
  <si>
    <t>Accured Revenue Share</t>
  </si>
  <si>
    <t>Purchases of PP&amp;E</t>
  </si>
  <si>
    <t>Purchases of Securities</t>
  </si>
  <si>
    <t>Sales of Securities</t>
  </si>
  <si>
    <t>Acquisitions, Intangible Assets</t>
  </si>
  <si>
    <t>Other Investing</t>
  </si>
  <si>
    <t>CAPEX</t>
  </si>
  <si>
    <t>United States Rev</t>
  </si>
  <si>
    <t>EMEA Rev</t>
  </si>
  <si>
    <t>APAC Rev</t>
  </si>
  <si>
    <t>Other Americas Rev</t>
  </si>
  <si>
    <t>TAC</t>
  </si>
  <si>
    <t>Employees</t>
  </si>
  <si>
    <t>DT</t>
  </si>
  <si>
    <t>"Google Cloud will fluctuate on deployment" Capacity Constraints</t>
  </si>
  <si>
    <t>Q325</t>
  </si>
  <si>
    <t>Q425</t>
  </si>
  <si>
    <t>acquire Wiz for 32B</t>
  </si>
  <si>
    <t>Cloud and YouTube exit 2024 at annual run rate of 110B revenue</t>
  </si>
  <si>
    <t>TAC - traffic acquisition costs</t>
  </si>
  <si>
    <t>Services OI</t>
  </si>
  <si>
    <t>Cloud OI</t>
  </si>
  <si>
    <t>Other OI</t>
  </si>
  <si>
    <t>Alphabet-level OI</t>
  </si>
  <si>
    <t>Services OM</t>
  </si>
  <si>
    <t>Cloud OM</t>
  </si>
  <si>
    <t>Other OM</t>
  </si>
  <si>
    <t>Total Services</t>
  </si>
  <si>
    <t>Services</t>
  </si>
  <si>
    <t>notes:</t>
  </si>
  <si>
    <t>FCF Margin</t>
  </si>
  <si>
    <t>YouTube + Cloud Rev</t>
  </si>
  <si>
    <t>"Demand Gen Ads 275% higher return on spend 74% higher clickthrough rate"</t>
  </si>
  <si>
    <t>Types of Ads</t>
  </si>
  <si>
    <t>Pmax</t>
  </si>
  <si>
    <t>Discovery</t>
  </si>
  <si>
    <t>"YouTube 17% higher return on advertising spend"</t>
  </si>
  <si>
    <t>TAC % of Rev</t>
  </si>
  <si>
    <t>"High CapEx . . . Higher depreciation"</t>
  </si>
  <si>
    <t>Q1 ESTIMATES</t>
  </si>
  <si>
    <t>Expected Move</t>
  </si>
  <si>
    <t>Actual Move</t>
  </si>
  <si>
    <t>No Change</t>
  </si>
  <si>
    <t>5% incr</t>
  </si>
  <si>
    <t>3% incr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</si>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</sst>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4" fontId="2" fillId="0" borderId="0" xfId="0" applyNumberFormat="1" applyFont="1"/>
    <xf numFmtId="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0</xdr:row>
      <xdr:rowOff>38100</xdr:rowOff>
    </xdr:from>
    <xdr:to>
      <xdr:col>8</xdr:col>
      <xdr:colOff>628650</xdr:colOff>
      <xdr:row>87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445C9DD-A662-F362-50EE-4050098C8359}"/>
            </a:ext>
          </a:extLst>
        </xdr:cNvPr>
        <xdr:cNvCxnSpPr/>
      </xdr:nvCxnSpPr>
      <xdr:spPr>
        <a:xfrm>
          <a:off x="6381750" y="38100"/>
          <a:ext cx="0" cy="1663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0</xdr:row>
      <xdr:rowOff>180975</xdr:rowOff>
    </xdr:from>
    <xdr:to>
      <xdr:col>20</xdr:col>
      <xdr:colOff>9525</xdr:colOff>
      <xdr:row>88</xdr:row>
      <xdr:rowOff>161925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2D8D2F-DB3B-3C73-C886-0459698155E0}"/>
            </a:ext>
          </a:extLst>
        </xdr:cNvPr>
        <xdr:cNvCxnSpPr/>
      </xdr:nvCxnSpPr>
      <xdr:spPr>
        <a:xfrm flipH="1">
          <a:off x="14116050" y="180975"/>
          <a:ext cx="9525" cy="16744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ender Flores" id="{3A2E8EA1-30C2-44C0-B0DD-30A8B6E5D02D}" userId="S::lrenderflores@mcc.edu::ba971e3f-64ab-4420-998a-55d598ee1c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4-24T04:53:31.88" personId="{3A2E8EA1-30C2-44C0-B0DD-30A8B6E5D02D}" id="{BBA5EC10-660F-4668-82DF-4AE7F04E7042}">
    <text xml:space="preserve">Petco used Demand Gen campaigns across targeting, creative generation and bidding to find new pet parent audiences across YouTube. They achieved a 275% higher return on ad spend and a 74% higher click through rate than their social benchmarks.
</text>
  </threadedComment>
  <threadedComment ref="B7" dT="2025-04-24T04:56:19.24" personId="{3A2E8EA1-30C2-44C0-B0DD-30A8B6E5D02D}" id="{1BE046AC-F3FB-43EE-AECA-81905FEF9CD1}">
    <text xml:space="preserve">Based on the Nielsen meta analysis of marketing mixed models, on average, Google AI-powered video campaigns on YouTube deliver 17% higher return on advertising spend than manual campaigns.
</text>
  </threadedComment>
  <threadedComment ref="B8" dT="2025-04-24T05:06:01.51" personId="{3A2E8EA1-30C2-44C0-B0DD-30A8B6E5D02D}" id="{48472E7E-10B8-4095-8B32-362E14E59AC2}">
    <text xml:space="preserve">First, the increase in our investment in CapEx over the past few years will increase pressure on the P&amp;L, primarily in the form of higher depreciation. </text>
  </threadedComment>
  <threadedComment ref="B8" dT="2025-04-24T05:06:24.22" personId="{3A2E8EA1-30C2-44C0-B0DD-30A8B6E5D02D}" id="{62D067A3-5C6C-4A61-9389-9141993FC5D0}" parentId="{48472E7E-10B8-4095-8B32-362E14E59AC2}">
    <text xml:space="preserve">Given the increasing CapEx investments over the past few years, we expect the growth rate in depreciation to accelerate in 2025.
</text>
  </threadedComment>
  <threadedComment ref="B13" dT="2025-04-24T04:55:13.10" personId="{3A2E8EA1-30C2-44C0-B0DD-30A8B6E5D02D}" id="{4C15ACA3-2BFB-48FE-85C1-4875F9329530}">
    <text xml:space="preserve">Using asset generation in PMax, Event Tickets Center achieved a 5 times increase in production of creative assets, saving time and effort. They also increased conversions by 300% compared to the previous period when they used manual assets.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6" dT="2025-04-24T20:04:58.81" personId="{3A2E8EA1-30C2-44C0-B0DD-30A8B6E5D02D}" id="{6FF532F1-830D-4259-9AB9-82FDC064399F}">
    <text xml:space="preserve">Normalized </text>
  </threadedComment>
  <threadedComment ref="U13" dT="2025-04-24T04:47:45.78" personId="{3A2E8EA1-30C2-44C0-B0DD-30A8B6E5D02D}" id="{B99DE3B8-CC20-4BAA-9DF2-73E63E2833F9}">
    <text>“YT &amp; Cloud exit 2024 at a annual run rate of 110B”</text>
  </threadedComment>
  <threadedComment ref="V20" dT="2025-04-27T02:21:17.68" personId="{3A2E8EA1-30C2-44C0-B0DD-30A8B6E5D02D}" id="{DA029D8C-EB1E-4E9F-9C18-38930E694876}">
    <text>Cloud CAGR 20%</text>
  </threadedComment>
  <threadedComment ref="J73" dT="2025-04-24T04:58:21.95" personId="{3A2E8EA1-30C2-44C0-B0DD-30A8B6E5D02D}" id="{3B68AEFE-707F-4EB5-AB45-6DCA4A93072B}">
    <text>"16B-18B Debt 1st Quarter"</text>
  </threadedComment>
  <threadedComment ref="J100" dT="2025-04-24T04:59:59.64" personId="{3A2E8EA1-30C2-44C0-B0DD-30A8B6E5D02D}" id="{B2A26FD5-756A-4436-88C9-DC45B78A3F12}">
    <text>Acquisition of Wiz</text>
  </threadedComment>
  <threadedComment ref="U102" dT="2025-04-24T04:29:36.04" personId="{3A2E8EA1-30C2-44C0-B0DD-30A8B6E5D02D}" id="{50D81D40-768D-4E6C-B865-C43BC614BF3C}">
    <text>“expect 75 bil in CAPEX 2025”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E1F6-E010-4C2A-A7A7-05E6849E9A4F}">
  <dimension ref="A1:J15"/>
  <sheetViews>
    <sheetView zoomScale="190" zoomScaleNormal="190" workbookViewId="0">
      <selection activeCell="I2" sqref="I2"/>
    </sheetView>
  </sheetViews>
  <sheetFormatPr defaultRowHeight="14.25" x14ac:dyDescent="0.2"/>
  <cols>
    <col min="1" max="8" width="9.140625" style="11"/>
    <col min="9" max="9" width="10.5703125" style="11" bestFit="1" customWidth="1"/>
    <col min="10" max="16384" width="9.140625" style="11"/>
  </cols>
  <sheetData>
    <row r="1" spans="1:10" ht="15" x14ac:dyDescent="0.25">
      <c r="A1" s="10" t="s">
        <v>0</v>
      </c>
    </row>
    <row r="2" spans="1:10" x14ac:dyDescent="0.2">
      <c r="B2" s="11" t="s">
        <v>106</v>
      </c>
      <c r="H2" s="11" t="s">
        <v>1</v>
      </c>
      <c r="I2" s="1">
        <v>156</v>
      </c>
    </row>
    <row r="3" spans="1:10" x14ac:dyDescent="0.2">
      <c r="B3" s="11" t="s">
        <v>91</v>
      </c>
      <c r="H3" s="11" t="s">
        <v>2</v>
      </c>
      <c r="I3" s="1">
        <v>12250</v>
      </c>
      <c r="J3" s="11" t="s">
        <v>25</v>
      </c>
    </row>
    <row r="4" spans="1:10" x14ac:dyDescent="0.2">
      <c r="B4" s="11" t="s">
        <v>94</v>
      </c>
      <c r="H4" s="11" t="s">
        <v>3</v>
      </c>
      <c r="I4" s="1">
        <f>I3*I2</f>
        <v>1911000</v>
      </c>
    </row>
    <row r="5" spans="1:10" x14ac:dyDescent="0.2">
      <c r="B5" s="1" t="s">
        <v>95</v>
      </c>
      <c r="H5" s="11" t="s">
        <v>4</v>
      </c>
      <c r="I5" s="1">
        <f>23466+72191</f>
        <v>95657</v>
      </c>
      <c r="J5" s="11" t="s">
        <v>25</v>
      </c>
    </row>
    <row r="6" spans="1:10" x14ac:dyDescent="0.2">
      <c r="B6" s="11" t="s">
        <v>109</v>
      </c>
      <c r="H6" s="11" t="s">
        <v>5</v>
      </c>
      <c r="I6" s="1">
        <v>10883</v>
      </c>
      <c r="J6" s="11" t="s">
        <v>25</v>
      </c>
    </row>
    <row r="7" spans="1:10" x14ac:dyDescent="0.2">
      <c r="B7" s="11" t="s">
        <v>113</v>
      </c>
      <c r="H7" s="11" t="s">
        <v>6</v>
      </c>
      <c r="I7" s="1">
        <f>I4+I6-I5</f>
        <v>1826226</v>
      </c>
    </row>
    <row r="8" spans="1:10" x14ac:dyDescent="0.2">
      <c r="B8" s="11" t="s">
        <v>115</v>
      </c>
    </row>
    <row r="10" spans="1:10" x14ac:dyDescent="0.2">
      <c r="B10" s="11" t="s">
        <v>96</v>
      </c>
    </row>
    <row r="11" spans="1:10" x14ac:dyDescent="0.2">
      <c r="B11" s="12"/>
    </row>
    <row r="12" spans="1:10" x14ac:dyDescent="0.2">
      <c r="B12" s="12" t="s">
        <v>110</v>
      </c>
    </row>
    <row r="13" spans="1:10" x14ac:dyDescent="0.2">
      <c r="B13" s="4" t="s">
        <v>111</v>
      </c>
    </row>
    <row r="14" spans="1:10" x14ac:dyDescent="0.2">
      <c r="B14" s="4" t="s">
        <v>112</v>
      </c>
      <c r="C14" s="4"/>
    </row>
    <row r="15" spans="1:10" x14ac:dyDescent="0.2">
      <c r="C15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1D38-ABFE-4FA6-A788-1C5637E2C7B6}">
  <dimension ref="A1:HK109"/>
  <sheetViews>
    <sheetView tabSelected="1" workbookViewId="0">
      <pane xSplit="1" ySplit="1" topLeftCell="N72" activePane="bottomRight" state="frozen"/>
      <selection pane="topRight" activeCell="B1" sqref="B1"/>
      <selection pane="bottomLeft" activeCell="A2" sqref="A2"/>
      <selection pane="bottomRight" activeCell="AB98" sqref="AB98"/>
    </sheetView>
  </sheetViews>
  <sheetFormatPr defaultRowHeight="14.25" x14ac:dyDescent="0.2"/>
  <cols>
    <col min="1" max="1" width="21.7109375" style="1" customWidth="1"/>
    <col min="2" max="5" width="9.28515625" style="1" customWidth="1"/>
    <col min="6" max="8" width="9.28515625" style="1" bestFit="1" customWidth="1"/>
    <col min="9" max="9" width="9.7109375" style="1" bestFit="1" customWidth="1"/>
    <col min="10" max="12" width="9.28515625" style="1" bestFit="1" customWidth="1"/>
    <col min="13" max="13" width="9.42578125" style="1" customWidth="1"/>
    <col min="14" max="14" width="9" style="1" customWidth="1"/>
    <col min="15" max="19" width="9.28515625" style="1" bestFit="1" customWidth="1"/>
    <col min="20" max="20" width="10.7109375" style="1" bestFit="1" customWidth="1"/>
    <col min="21" max="21" width="9.7109375" style="1" bestFit="1" customWidth="1"/>
    <col min="22" max="22" width="9.28515625" style="1" bestFit="1" customWidth="1"/>
    <col min="23" max="23" width="9" style="1" customWidth="1"/>
    <col min="24" max="25" width="10.140625" style="1" customWidth="1"/>
    <col min="26" max="27" width="9.28515625" style="1" bestFit="1" customWidth="1"/>
    <col min="28" max="28" width="9.85546875" style="1" customWidth="1"/>
    <col min="29" max="173" width="9.28515625" style="1" bestFit="1" customWidth="1"/>
    <col min="174" max="219" width="10.140625" style="1" bestFit="1" customWidth="1"/>
    <col min="220" max="16384" width="9.140625" style="1"/>
  </cols>
  <sheetData>
    <row r="1" spans="1:30" x14ac:dyDescent="0.2">
      <c r="B1" s="1" t="s">
        <v>39</v>
      </c>
      <c r="C1" s="1" t="s">
        <v>40</v>
      </c>
      <c r="D1" s="1" t="s">
        <v>41</v>
      </c>
      <c r="E1" s="1" t="s">
        <v>42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92</v>
      </c>
      <c r="M1" s="1" t="s">
        <v>93</v>
      </c>
      <c r="O1" s="2">
        <v>2019</v>
      </c>
      <c r="P1" s="2">
        <v>2020</v>
      </c>
      <c r="Q1" s="2">
        <f>P1+1</f>
        <v>2021</v>
      </c>
      <c r="R1" s="2">
        <f t="shared" ref="R1:Y1" si="0">Q1+1</f>
        <v>2022</v>
      </c>
      <c r="S1" s="2">
        <f t="shared" si="0"/>
        <v>2023</v>
      </c>
      <c r="T1" s="2">
        <f t="shared" si="0"/>
        <v>2024</v>
      </c>
      <c r="U1" s="2">
        <f t="shared" si="0"/>
        <v>2025</v>
      </c>
      <c r="V1" s="2">
        <f t="shared" si="0"/>
        <v>2026</v>
      </c>
      <c r="W1" s="2">
        <f t="shared" si="0"/>
        <v>2027</v>
      </c>
      <c r="X1" s="2">
        <f t="shared" si="0"/>
        <v>2028</v>
      </c>
      <c r="Y1" s="2">
        <f t="shared" si="0"/>
        <v>2029</v>
      </c>
      <c r="Z1" s="2">
        <f t="shared" ref="Z1" si="1">Y1+1</f>
        <v>2030</v>
      </c>
      <c r="AA1" s="2">
        <f t="shared" ref="AA1" si="2">Z1+1</f>
        <v>2031</v>
      </c>
      <c r="AB1" s="2">
        <f t="shared" ref="AB1" si="3">AA1+1</f>
        <v>2032</v>
      </c>
      <c r="AC1" s="2">
        <f t="shared" ref="AC1" si="4">AB1+1</f>
        <v>2033</v>
      </c>
      <c r="AD1" s="2">
        <f t="shared" ref="AD1" si="5">AC1+1</f>
        <v>2034</v>
      </c>
    </row>
    <row r="2" spans="1:30" ht="15" x14ac:dyDescent="0.25">
      <c r="A2" s="1" t="s">
        <v>101</v>
      </c>
      <c r="B2" s="3"/>
      <c r="D2" s="3"/>
      <c r="E2" s="4">
        <f>E5/SUM(E18:E18)</f>
        <v>2.4763757643135076</v>
      </c>
      <c r="F2" s="3"/>
      <c r="I2" s="4">
        <f>I5/SUM(I18:I18)</f>
        <v>2.8218000515774091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30" ht="15" x14ac:dyDescent="0.25">
      <c r="A3" s="1" t="s">
        <v>102</v>
      </c>
      <c r="B3" s="3"/>
      <c r="D3" s="3"/>
      <c r="E3" s="4">
        <f>E6/E20</f>
        <v>9.4103568320278497E-2</v>
      </c>
      <c r="F3" s="3"/>
      <c r="I3" s="4">
        <f>I6/I20</f>
        <v>0.17507319113341699</v>
      </c>
      <c r="J3" s="4">
        <v>0.4</v>
      </c>
      <c r="K3" s="4">
        <v>0.4</v>
      </c>
      <c r="L3" s="4">
        <v>0.4</v>
      </c>
      <c r="M3" s="4">
        <v>0.4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0" ht="15" x14ac:dyDescent="0.25">
      <c r="A4" s="1" t="s">
        <v>103</v>
      </c>
      <c r="B4" s="3"/>
      <c r="D4" s="3"/>
      <c r="E4" s="4">
        <f>E7/E21</f>
        <v>-1.0693928128872368</v>
      </c>
      <c r="F4" s="3"/>
      <c r="I4" s="4">
        <f>I7/I21</f>
        <v>-2.7952380952380951</v>
      </c>
      <c r="O4" s="3" t="s">
        <v>116</v>
      </c>
      <c r="Q4" s="2" t="s">
        <v>117</v>
      </c>
      <c r="R4" s="2" t="s">
        <v>118</v>
      </c>
      <c r="S4" s="2"/>
      <c r="T4" s="2"/>
      <c r="U4" s="2"/>
      <c r="V4" s="2"/>
      <c r="W4" s="2"/>
      <c r="X4" s="2"/>
      <c r="Y4" s="2"/>
    </row>
    <row r="5" spans="1:30" ht="15" x14ac:dyDescent="0.25">
      <c r="A5" s="1" t="s">
        <v>97</v>
      </c>
      <c r="B5" s="3"/>
      <c r="D5" s="3"/>
      <c r="E5" s="1">
        <v>26730</v>
      </c>
      <c r="F5" s="3"/>
      <c r="I5" s="1">
        <v>32826</v>
      </c>
      <c r="J5" s="3"/>
      <c r="O5" s="5" t="s">
        <v>51</v>
      </c>
      <c r="P5" s="6">
        <v>2.0099999999999998</v>
      </c>
      <c r="Q5" s="1" t="s">
        <v>119</v>
      </c>
      <c r="R5" s="4"/>
      <c r="S5" s="2"/>
      <c r="T5" s="2"/>
      <c r="U5" s="2"/>
      <c r="V5" s="2"/>
      <c r="W5" s="2"/>
      <c r="X5" s="2"/>
      <c r="Y5" s="2"/>
    </row>
    <row r="6" spans="1:30" ht="15" x14ac:dyDescent="0.25">
      <c r="A6" s="1" t="s">
        <v>98</v>
      </c>
      <c r="B6" s="3"/>
      <c r="D6" s="3"/>
      <c r="E6" s="1">
        <v>865</v>
      </c>
      <c r="F6" s="3"/>
      <c r="I6" s="1">
        <v>2093</v>
      </c>
      <c r="J6" s="1">
        <f>J3*J20</f>
        <v>5355.8400000000011</v>
      </c>
      <c r="K6" s="1">
        <f>K3*K20</f>
        <v>5998.5408000000025</v>
      </c>
      <c r="L6" s="1">
        <f>L3*L20</f>
        <v>6718.3656960000026</v>
      </c>
      <c r="M6" s="1">
        <f>M3*M20</f>
        <v>7524.5695795200045</v>
      </c>
      <c r="O6" s="3" t="s">
        <v>51</v>
      </c>
      <c r="P6" s="6">
        <v>2.2400000000000002</v>
      </c>
      <c r="R6" s="2" t="s">
        <v>120</v>
      </c>
      <c r="S6" s="2"/>
      <c r="T6" s="2"/>
      <c r="U6" s="2"/>
      <c r="V6" s="2"/>
      <c r="W6" s="2"/>
      <c r="X6" s="2"/>
      <c r="Y6" s="2"/>
    </row>
    <row r="7" spans="1:30" ht="15" x14ac:dyDescent="0.25">
      <c r="A7" s="1" t="s">
        <v>99</v>
      </c>
      <c r="B7" s="3"/>
      <c r="D7" s="3"/>
      <c r="E7" s="1">
        <v>-863</v>
      </c>
      <c r="F7" s="3"/>
      <c r="I7" s="1">
        <v>-1174</v>
      </c>
      <c r="O7" s="3" t="s">
        <v>51</v>
      </c>
      <c r="P7" s="6">
        <v>2.11</v>
      </c>
      <c r="Q7" s="1" t="s">
        <v>121</v>
      </c>
      <c r="R7" s="2"/>
      <c r="S7" s="2"/>
      <c r="T7" s="2"/>
      <c r="U7" s="2"/>
      <c r="V7" s="2"/>
      <c r="W7" s="2"/>
      <c r="X7" s="2"/>
      <c r="Y7" s="2"/>
    </row>
    <row r="8" spans="1:30" ht="15" x14ac:dyDescent="0.25">
      <c r="A8" s="1" t="s">
        <v>100</v>
      </c>
      <c r="B8" s="3"/>
      <c r="C8" s="3"/>
      <c r="D8" s="7"/>
      <c r="E8" s="1">
        <f>-3034-150</f>
        <v>-3184</v>
      </c>
      <c r="F8" s="5"/>
      <c r="G8" s="3"/>
      <c r="H8" s="7"/>
      <c r="I8" s="1">
        <f>-2783-20</f>
        <v>-2803</v>
      </c>
      <c r="Q8" s="2"/>
      <c r="R8" s="2"/>
      <c r="S8" s="2"/>
      <c r="T8" s="2"/>
      <c r="U8" s="2"/>
      <c r="V8" s="2"/>
      <c r="W8" s="2"/>
      <c r="X8" s="2"/>
      <c r="Y8" s="2"/>
    </row>
    <row r="9" spans="1:30" ht="15" x14ac:dyDescent="0.25">
      <c r="B9" s="3"/>
      <c r="C9" s="3"/>
      <c r="D9" s="7"/>
      <c r="F9" s="5"/>
      <c r="G9" s="3"/>
      <c r="H9" s="7"/>
      <c r="Q9" s="4"/>
      <c r="R9" s="4"/>
      <c r="S9" s="4"/>
      <c r="T9" s="4"/>
      <c r="U9" s="4"/>
      <c r="V9" s="4"/>
      <c r="W9" s="4"/>
      <c r="X9" s="4"/>
      <c r="Y9" s="4"/>
    </row>
    <row r="10" spans="1:30" ht="15" x14ac:dyDescent="0.25">
      <c r="A10" s="1" t="s">
        <v>114</v>
      </c>
      <c r="B10" s="3"/>
      <c r="C10" s="3"/>
      <c r="D10" s="5">
        <f>(D15-D11)/D15</f>
        <v>0.71285149684277471</v>
      </c>
      <c r="E10" s="5">
        <f>(E15-E11)/E15</f>
        <v>0.70874635568513122</v>
      </c>
      <c r="F10" s="5"/>
      <c r="G10" s="3"/>
      <c r="H10" s="5">
        <f>H11/H15</f>
        <v>0.27779690189328743</v>
      </c>
      <c r="I10" s="5">
        <f>I11/I15</f>
        <v>0.27478994707036308</v>
      </c>
      <c r="J10" s="5">
        <f>J11/J15</f>
        <v>0.27478994707036314</v>
      </c>
      <c r="Q10" s="2"/>
      <c r="R10" s="8">
        <f>R11/R15</f>
        <v>0</v>
      </c>
      <c r="S10" s="8">
        <f>S11/S15</f>
        <v>0.29072232093376676</v>
      </c>
      <c r="T10" s="8">
        <f>T11/T15</f>
        <v>0.27715514630156901</v>
      </c>
      <c r="U10" s="8">
        <v>0.27</v>
      </c>
      <c r="V10" s="8">
        <v>0.27</v>
      </c>
      <c r="W10" s="8">
        <v>0.27</v>
      </c>
      <c r="X10" s="8">
        <v>0.27</v>
      </c>
      <c r="Y10" s="8">
        <v>0.27</v>
      </c>
    </row>
    <row r="11" spans="1:30" ht="15" x14ac:dyDescent="0.25">
      <c r="A11" s="1" t="s">
        <v>88</v>
      </c>
      <c r="B11" s="3"/>
      <c r="C11" s="3"/>
      <c r="D11" s="1">
        <v>12642</v>
      </c>
      <c r="E11" s="1">
        <v>13986</v>
      </c>
      <c r="F11" s="3"/>
      <c r="G11" s="3"/>
      <c r="H11" s="1">
        <v>13719</v>
      </c>
      <c r="I11" s="1">
        <v>14848</v>
      </c>
      <c r="J11" s="1">
        <f>I11*0.93</f>
        <v>13808.640000000001</v>
      </c>
      <c r="Q11" s="2"/>
      <c r="R11" s="2"/>
      <c r="S11" s="1">
        <v>50886</v>
      </c>
      <c r="T11" s="1">
        <v>54900</v>
      </c>
      <c r="U11" s="1">
        <f>U10*U15</f>
        <v>59354.516037038411</v>
      </c>
      <c r="V11" s="1">
        <f t="shared" ref="V11:Y11" si="6">V10*V15</f>
        <v>65883.512801112636</v>
      </c>
      <c r="W11" s="1">
        <f t="shared" si="6"/>
        <v>73130.699209235027</v>
      </c>
      <c r="X11" s="1">
        <f t="shared" si="6"/>
        <v>81175.076122250888</v>
      </c>
      <c r="Y11" s="1">
        <f t="shared" si="6"/>
        <v>90104.334495698495</v>
      </c>
    </row>
    <row r="12" spans="1:30" ht="15" x14ac:dyDescent="0.25">
      <c r="A12" s="1" t="s">
        <v>89</v>
      </c>
      <c r="B12" s="3"/>
      <c r="C12" s="3"/>
      <c r="D12" s="1">
        <v>182381</v>
      </c>
      <c r="E12" s="1">
        <v>182502</v>
      </c>
      <c r="F12" s="3"/>
      <c r="G12" s="3"/>
      <c r="H12" s="1">
        <v>181269</v>
      </c>
      <c r="I12" s="1">
        <v>183323</v>
      </c>
      <c r="J12" s="3"/>
      <c r="K12" s="3"/>
      <c r="L12" s="3"/>
      <c r="M12" s="3"/>
      <c r="O12" s="2"/>
      <c r="P12" s="2"/>
      <c r="Q12" s="2"/>
      <c r="R12" s="2"/>
      <c r="S12" s="4" t="s">
        <v>122</v>
      </c>
      <c r="T12" s="1">
        <v>183323</v>
      </c>
      <c r="U12" s="4"/>
      <c r="V12" s="4"/>
      <c r="W12" s="4"/>
      <c r="X12" s="4"/>
      <c r="Y12" s="4"/>
    </row>
    <row r="13" spans="1:30" ht="15" x14ac:dyDescent="0.25">
      <c r="A13" s="1" t="s">
        <v>108</v>
      </c>
      <c r="B13" s="3">
        <f t="shared" ref="B13:J13" si="7">B20+B16</f>
        <v>14147</v>
      </c>
      <c r="C13" s="3">
        <f t="shared" si="7"/>
        <v>15696</v>
      </c>
      <c r="D13" s="3">
        <f t="shared" si="7"/>
        <v>16363</v>
      </c>
      <c r="E13" s="3">
        <f t="shared" si="7"/>
        <v>18392</v>
      </c>
      <c r="F13" s="3">
        <f t="shared" si="7"/>
        <v>17664</v>
      </c>
      <c r="G13" s="3">
        <f t="shared" si="7"/>
        <v>19010</v>
      </c>
      <c r="H13" s="3">
        <f t="shared" si="7"/>
        <v>20274</v>
      </c>
      <c r="I13" s="3">
        <f t="shared" si="7"/>
        <v>22428</v>
      </c>
      <c r="J13" s="3">
        <f t="shared" si="7"/>
        <v>23024.760000000002</v>
      </c>
      <c r="K13" s="3">
        <f t="shared" ref="K13:M13" si="8">K20+K16</f>
        <v>25980.434400000006</v>
      </c>
      <c r="L13" s="3">
        <f t="shared" si="8"/>
        <v>29317.768176000005</v>
      </c>
      <c r="M13" s="3">
        <f t="shared" si="8"/>
        <v>33086.337435840003</v>
      </c>
      <c r="O13" s="2"/>
      <c r="P13" s="2"/>
      <c r="R13" s="1">
        <f t="shared" ref="R13:S13" si="9">R16+R20</f>
        <v>55523</v>
      </c>
      <c r="S13" s="1">
        <f t="shared" si="9"/>
        <v>64598</v>
      </c>
      <c r="T13" s="1">
        <f t="shared" ref="T13:U13" si="10">T16+T20</f>
        <v>79376</v>
      </c>
      <c r="U13" s="1">
        <f t="shared" si="10"/>
        <v>111409.30001184001</v>
      </c>
      <c r="V13" s="1">
        <f>V16+V20</f>
        <v>129897.87922836482</v>
      </c>
      <c r="W13" s="1">
        <f>W16+W20</f>
        <v>151628.98059389339</v>
      </c>
      <c r="X13" s="1">
        <f>X16+X20</f>
        <v>177196.48529491038</v>
      </c>
      <c r="Y13" s="1">
        <f>Y16+Y20</f>
        <v>207306.49596599932</v>
      </c>
    </row>
    <row r="14" spans="1:30" ht="15" x14ac:dyDescent="0.25">
      <c r="B14" s="3"/>
      <c r="C14" s="4"/>
      <c r="D14" s="4"/>
      <c r="E14" s="4"/>
      <c r="G14" s="4"/>
      <c r="H14" s="4"/>
      <c r="I14" s="7"/>
      <c r="J14" s="3"/>
      <c r="K14" s="3"/>
      <c r="L14" s="5"/>
      <c r="M14" s="3"/>
      <c r="N14" s="7"/>
      <c r="O14" s="4"/>
      <c r="P14" s="4"/>
      <c r="Q14" s="4"/>
      <c r="R14" s="4"/>
      <c r="S14" s="4"/>
      <c r="T14" s="4"/>
      <c r="U14" s="2"/>
      <c r="V14" s="2"/>
      <c r="W14" s="2"/>
      <c r="X14" s="2"/>
      <c r="Y14" s="2"/>
    </row>
    <row r="15" spans="1:30" x14ac:dyDescent="0.2">
      <c r="A15" s="1" t="s">
        <v>33</v>
      </c>
      <c r="B15" s="1">
        <v>40359</v>
      </c>
      <c r="C15" s="1">
        <v>42628</v>
      </c>
      <c r="D15" s="1">
        <v>44026</v>
      </c>
      <c r="E15" s="1">
        <v>48020</v>
      </c>
      <c r="F15" s="1">
        <v>46156</v>
      </c>
      <c r="G15" s="1">
        <v>48509</v>
      </c>
      <c r="H15" s="1">
        <v>49385</v>
      </c>
      <c r="I15" s="1">
        <v>54034</v>
      </c>
      <c r="J15" s="1">
        <f>I15*0.93</f>
        <v>50251.62</v>
      </c>
      <c r="K15" s="1">
        <f>J15*1.06</f>
        <v>53266.717200000006</v>
      </c>
      <c r="L15" s="1">
        <f t="shared" ref="L15:M15" si="11">K15*1.06</f>
        <v>56462.720232000007</v>
      </c>
      <c r="M15" s="1">
        <f t="shared" si="11"/>
        <v>59850.483445920014</v>
      </c>
      <c r="O15" s="1">
        <v>161857</v>
      </c>
      <c r="P15" s="1">
        <v>182527</v>
      </c>
      <c r="Q15" s="1">
        <v>257637</v>
      </c>
      <c r="R15" s="1">
        <v>162450</v>
      </c>
      <c r="S15" s="1">
        <v>175033</v>
      </c>
      <c r="T15" s="1">
        <v>198084</v>
      </c>
      <c r="U15" s="1">
        <f>SUM(J15:M15)</f>
        <v>219831.54087792002</v>
      </c>
      <c r="V15" s="1">
        <f>U15*1.11</f>
        <v>244013.01037449125</v>
      </c>
      <c r="W15" s="1">
        <f t="shared" ref="W15:Y15" si="12">V15*1.11</f>
        <v>270854.44151568529</v>
      </c>
      <c r="X15" s="1">
        <f t="shared" si="12"/>
        <v>300648.43008241069</v>
      </c>
      <c r="Y15" s="1">
        <f t="shared" si="12"/>
        <v>333719.7573914759</v>
      </c>
    </row>
    <row r="16" spans="1:30" x14ac:dyDescent="0.2">
      <c r="A16" s="1" t="s">
        <v>34</v>
      </c>
      <c r="B16" s="1">
        <v>6693</v>
      </c>
      <c r="C16" s="1">
        <v>7665</v>
      </c>
      <c r="D16" s="1">
        <v>7952</v>
      </c>
      <c r="E16" s="1">
        <v>9200</v>
      </c>
      <c r="F16" s="1">
        <v>8090</v>
      </c>
      <c r="G16" s="1">
        <v>8663</v>
      </c>
      <c r="H16" s="1">
        <v>8921</v>
      </c>
      <c r="I16" s="1">
        <v>10473</v>
      </c>
      <c r="J16" s="1">
        <f>I16*0.92</f>
        <v>9635.16</v>
      </c>
      <c r="K16" s="1">
        <f>J16*1.14</f>
        <v>10984.082399999999</v>
      </c>
      <c r="L16" s="1">
        <f t="shared" ref="L16:M16" si="13">K16*1.14</f>
        <v>12521.853935999998</v>
      </c>
      <c r="M16" s="1">
        <f t="shared" si="13"/>
        <v>14274.913487039996</v>
      </c>
      <c r="N16" s="4"/>
      <c r="P16" s="2"/>
      <c r="Q16" s="2"/>
      <c r="R16" s="1">
        <v>29243</v>
      </c>
      <c r="S16" s="1">
        <v>31510</v>
      </c>
      <c r="T16" s="1">
        <v>36147</v>
      </c>
      <c r="U16" s="1">
        <f>SUM(J16:M16)</f>
        <v>47416.009823039989</v>
      </c>
      <c r="V16" s="1">
        <f>U16*1.12</f>
        <v>53105.931001804791</v>
      </c>
      <c r="W16" s="1">
        <f t="shared" ref="W16:Y16" si="14">V16*1.12</f>
        <v>59478.642722021374</v>
      </c>
      <c r="X16" s="1">
        <f t="shared" si="14"/>
        <v>66616.07984866394</v>
      </c>
      <c r="Y16" s="1">
        <f t="shared" si="14"/>
        <v>74610.009430503618</v>
      </c>
    </row>
    <row r="17" spans="1:25" x14ac:dyDescent="0.2">
      <c r="A17" s="1" t="s">
        <v>35</v>
      </c>
      <c r="B17" s="1">
        <v>7496</v>
      </c>
      <c r="C17" s="1">
        <v>7850</v>
      </c>
      <c r="D17" s="1">
        <v>7669</v>
      </c>
      <c r="E17" s="1">
        <v>8297</v>
      </c>
      <c r="F17" s="1">
        <v>7413</v>
      </c>
      <c r="G17" s="1">
        <v>7444</v>
      </c>
      <c r="H17" s="1">
        <v>7548</v>
      </c>
      <c r="I17" s="1">
        <v>7954</v>
      </c>
      <c r="J17" s="1">
        <f>I17*0.92</f>
        <v>7317.68</v>
      </c>
      <c r="K17" s="1">
        <f>J17*1.02</f>
        <v>7464.0336000000007</v>
      </c>
      <c r="L17" s="1">
        <f t="shared" ref="L17:M17" si="15">K17*1.02</f>
        <v>7613.3142720000005</v>
      </c>
      <c r="M17" s="1">
        <f t="shared" si="15"/>
        <v>7765.580557440001</v>
      </c>
      <c r="N17" s="4"/>
      <c r="P17" s="2"/>
      <c r="Q17" s="2"/>
      <c r="R17" s="1">
        <v>32780</v>
      </c>
      <c r="S17" s="1">
        <v>31312</v>
      </c>
      <c r="T17" s="1">
        <v>30359</v>
      </c>
      <c r="U17" s="1">
        <f>SUM(J17:M17)</f>
        <v>30160.608429440003</v>
      </c>
      <c r="V17" s="1">
        <f>U17*1.01</f>
        <v>30462.214513734401</v>
      </c>
      <c r="W17" s="1">
        <f t="shared" ref="W17:Y17" si="16">V17*1.01</f>
        <v>30766.836658871747</v>
      </c>
      <c r="X17" s="1">
        <f t="shared" si="16"/>
        <v>31074.505025460465</v>
      </c>
      <c r="Y17" s="1">
        <f t="shared" si="16"/>
        <v>31385.25007571507</v>
      </c>
    </row>
    <row r="18" spans="1:25" x14ac:dyDescent="0.2">
      <c r="A18" s="1" t="s">
        <v>37</v>
      </c>
      <c r="B18" s="1">
        <v>7413</v>
      </c>
      <c r="C18" s="1">
        <v>8142</v>
      </c>
      <c r="D18" s="1">
        <v>8339</v>
      </c>
      <c r="E18" s="1">
        <v>10794</v>
      </c>
      <c r="F18" s="1">
        <v>8739</v>
      </c>
      <c r="G18" s="1">
        <v>9312</v>
      </c>
      <c r="H18" s="1">
        <v>10656</v>
      </c>
      <c r="I18" s="1">
        <v>11633</v>
      </c>
      <c r="J18" s="1">
        <f>I18*0.92</f>
        <v>10702.36</v>
      </c>
      <c r="K18" s="1">
        <f>J18*1.03</f>
        <v>11023.4308</v>
      </c>
      <c r="L18" s="1">
        <f t="shared" ref="L18:M18" si="17">K18*1.03</f>
        <v>11354.133724000001</v>
      </c>
      <c r="M18" s="1">
        <f t="shared" si="17"/>
        <v>11694.757735720001</v>
      </c>
      <c r="P18" s="2"/>
      <c r="Q18" s="2"/>
      <c r="R18" s="1">
        <v>29055</v>
      </c>
      <c r="S18" s="1">
        <v>34688</v>
      </c>
      <c r="T18" s="1">
        <v>40340</v>
      </c>
      <c r="U18" s="1">
        <f>SUM(J18:M18)</f>
        <v>44774.682259720001</v>
      </c>
      <c r="V18" s="1">
        <f>U18*1.12</f>
        <v>50147.644130886409</v>
      </c>
      <c r="W18" s="1">
        <f t="shared" ref="W18:Y18" si="18">V18*1.12</f>
        <v>56165.361426592783</v>
      </c>
      <c r="X18" s="1">
        <f t="shared" si="18"/>
        <v>62905.204797783925</v>
      </c>
      <c r="Y18" s="1">
        <f t="shared" si="18"/>
        <v>70453.829373518005</v>
      </c>
    </row>
    <row r="19" spans="1:25" x14ac:dyDescent="0.2">
      <c r="A19" s="1" t="s">
        <v>104</v>
      </c>
      <c r="B19" s="1">
        <f>SUM(B15:B18)</f>
        <v>61961</v>
      </c>
      <c r="C19" s="1">
        <f t="shared" ref="C19:O19" si="19">SUM(C15:C18)</f>
        <v>66285</v>
      </c>
      <c r="D19" s="1">
        <f t="shared" si="19"/>
        <v>67986</v>
      </c>
      <c r="E19" s="1">
        <f t="shared" si="19"/>
        <v>76311</v>
      </c>
      <c r="F19" s="1">
        <f t="shared" si="19"/>
        <v>70398</v>
      </c>
      <c r="G19" s="1">
        <f t="shared" si="19"/>
        <v>73928</v>
      </c>
      <c r="H19" s="1">
        <f t="shared" si="19"/>
        <v>76510</v>
      </c>
      <c r="I19" s="1">
        <f t="shared" si="19"/>
        <v>84094</v>
      </c>
      <c r="J19" s="1">
        <f t="shared" si="19"/>
        <v>77906.819999999992</v>
      </c>
      <c r="K19" s="1">
        <f t="shared" si="19"/>
        <v>82738.26400000001</v>
      </c>
      <c r="L19" s="1">
        <f t="shared" si="19"/>
        <v>87952.022164000009</v>
      </c>
      <c r="M19" s="1">
        <f t="shared" si="19"/>
        <v>93585.735226120014</v>
      </c>
      <c r="O19" s="1">
        <f t="shared" si="19"/>
        <v>161857</v>
      </c>
      <c r="P19" s="1">
        <f t="shared" ref="P19" si="20">SUM(P15:P18)</f>
        <v>182527</v>
      </c>
      <c r="Q19" s="1">
        <f t="shared" ref="Q19" si="21">SUM(Q15:Q18)</f>
        <v>257637</v>
      </c>
      <c r="R19" s="1">
        <f t="shared" ref="R19" si="22">SUM(R15:R18)</f>
        <v>253528</v>
      </c>
      <c r="S19" s="1">
        <f t="shared" ref="S19" si="23">SUM(S15:S18)</f>
        <v>272543</v>
      </c>
      <c r="T19" s="1">
        <f t="shared" ref="T19" si="24">SUM(T15:T18)</f>
        <v>304930</v>
      </c>
      <c r="U19" s="1">
        <f t="shared" ref="U19" si="25">SUM(U15:U18)</f>
        <v>342182.84139011998</v>
      </c>
      <c r="V19" s="1">
        <f t="shared" ref="V19" si="26">SUM(V15:V18)</f>
        <v>377728.80002091685</v>
      </c>
      <c r="W19" s="1">
        <f t="shared" ref="W19" si="27">SUM(W15:W18)</f>
        <v>417265.28232317121</v>
      </c>
      <c r="X19" s="1">
        <f t="shared" ref="X19" si="28">SUM(X15:X18)</f>
        <v>461244.219754319</v>
      </c>
      <c r="Y19" s="1">
        <f t="shared" ref="Y19" si="29">SUM(Y15:Y18)</f>
        <v>510168.84627121262</v>
      </c>
    </row>
    <row r="20" spans="1:25" x14ac:dyDescent="0.2">
      <c r="A20" s="1" t="s">
        <v>36</v>
      </c>
      <c r="B20" s="1">
        <v>7454</v>
      </c>
      <c r="C20" s="1">
        <v>8031</v>
      </c>
      <c r="D20" s="1">
        <v>8411</v>
      </c>
      <c r="E20" s="1">
        <v>9192</v>
      </c>
      <c r="F20" s="1">
        <v>9574</v>
      </c>
      <c r="G20" s="1">
        <v>10347</v>
      </c>
      <c r="H20" s="1">
        <v>11353</v>
      </c>
      <c r="I20" s="1">
        <v>11955</v>
      </c>
      <c r="J20" s="1">
        <f>I20*1.12</f>
        <v>13389.600000000002</v>
      </c>
      <c r="K20" s="1">
        <f t="shared" ref="K20:M20" si="30">J20*1.12</f>
        <v>14996.352000000004</v>
      </c>
      <c r="L20" s="1">
        <f t="shared" si="30"/>
        <v>16795.914240000006</v>
      </c>
      <c r="M20" s="1">
        <f t="shared" si="30"/>
        <v>18811.423948800009</v>
      </c>
      <c r="N20" s="4"/>
      <c r="P20" s="2"/>
      <c r="Q20" s="2"/>
      <c r="R20" s="1">
        <v>26280</v>
      </c>
      <c r="S20" s="1">
        <v>33088</v>
      </c>
      <c r="T20" s="1">
        <v>43229</v>
      </c>
      <c r="U20" s="1">
        <f>SUM(J20:M20)</f>
        <v>63993.29018880002</v>
      </c>
      <c r="V20" s="1">
        <f>U20*1.2</f>
        <v>76791.948226560024</v>
      </c>
      <c r="W20" s="1">
        <f t="shared" ref="W20:Y20" si="31">V20*1.2</f>
        <v>92150.33787187202</v>
      </c>
      <c r="X20" s="1">
        <f t="shared" si="31"/>
        <v>110580.40544624643</v>
      </c>
      <c r="Y20" s="1">
        <f t="shared" si="31"/>
        <v>132696.4865354957</v>
      </c>
    </row>
    <row r="21" spans="1:25" x14ac:dyDescent="0.2">
      <c r="A21" s="1" t="s">
        <v>14</v>
      </c>
      <c r="B21" s="1">
        <f>288+84</f>
        <v>372</v>
      </c>
      <c r="C21" s="1">
        <f>285+3</f>
        <v>288</v>
      </c>
      <c r="D21" s="1">
        <f>297-1</f>
        <v>296</v>
      </c>
      <c r="E21" s="1">
        <f>657+150</f>
        <v>807</v>
      </c>
      <c r="F21" s="1">
        <f>495+72</f>
        <v>567</v>
      </c>
      <c r="G21" s="1">
        <f>365+102</f>
        <v>467</v>
      </c>
      <c r="H21" s="1">
        <f>388+17</f>
        <v>405</v>
      </c>
      <c r="I21" s="1">
        <f>400+20</f>
        <v>420</v>
      </c>
      <c r="J21" s="1">
        <f>I21*0.93</f>
        <v>390.6</v>
      </c>
      <c r="K21" s="1">
        <f>J21*1.02</f>
        <v>398.41200000000003</v>
      </c>
      <c r="L21" s="1">
        <f t="shared" ref="L21:M21" si="32">K21*1.02</f>
        <v>406.38024000000001</v>
      </c>
      <c r="M21" s="1">
        <f t="shared" si="32"/>
        <v>414.50784480000004</v>
      </c>
      <c r="P21" s="2"/>
      <c r="Q21" s="2"/>
      <c r="R21" s="1">
        <f>1068+1960</f>
        <v>3028</v>
      </c>
      <c r="S21" s="1">
        <f>1527+236</f>
        <v>1763</v>
      </c>
      <c r="T21" s="1">
        <f>1648+211</f>
        <v>1859</v>
      </c>
      <c r="U21" s="1">
        <f>SUM(J21:M21)</f>
        <v>1609.9000848000001</v>
      </c>
      <c r="V21" s="1">
        <f>U21*1.05</f>
        <v>1690.3950890400001</v>
      </c>
      <c r="W21" s="1">
        <f t="shared" ref="W21:Y21" si="33">V21*1.05</f>
        <v>1774.9148434920003</v>
      </c>
      <c r="X21" s="1">
        <f t="shared" si="33"/>
        <v>1863.6605856666004</v>
      </c>
      <c r="Y21" s="1">
        <f t="shared" si="33"/>
        <v>1956.8436149499305</v>
      </c>
    </row>
    <row r="22" spans="1:25" s="3" customFormat="1" ht="15" x14ac:dyDescent="0.25">
      <c r="A22" s="3" t="s">
        <v>7</v>
      </c>
      <c r="B22" s="3">
        <f>SUM(B19:B21)</f>
        <v>69787</v>
      </c>
      <c r="C22" s="3">
        <f t="shared" ref="C22:Y22" si="34">SUM(C19:C21)</f>
        <v>74604</v>
      </c>
      <c r="D22" s="3">
        <f t="shared" si="34"/>
        <v>76693</v>
      </c>
      <c r="E22" s="3">
        <f t="shared" si="34"/>
        <v>86310</v>
      </c>
      <c r="F22" s="3">
        <f t="shared" si="34"/>
        <v>80539</v>
      </c>
      <c r="G22" s="3">
        <f t="shared" si="34"/>
        <v>84742</v>
      </c>
      <c r="H22" s="3">
        <f t="shared" si="34"/>
        <v>88268</v>
      </c>
      <c r="I22" s="3">
        <f t="shared" si="34"/>
        <v>96469</v>
      </c>
      <c r="J22" s="3">
        <f>SUM(J19:J21)</f>
        <v>91687.02</v>
      </c>
      <c r="K22" s="3">
        <f t="shared" ref="K22:M22" si="35">SUM(K19:K21)</f>
        <v>98133.028000000006</v>
      </c>
      <c r="L22" s="3">
        <f t="shared" si="35"/>
        <v>105154.31664400001</v>
      </c>
      <c r="M22" s="3">
        <f t="shared" si="35"/>
        <v>112811.66701972003</v>
      </c>
      <c r="O22" s="3">
        <f t="shared" si="34"/>
        <v>161857</v>
      </c>
      <c r="P22" s="3">
        <f t="shared" si="34"/>
        <v>182527</v>
      </c>
      <c r="Q22" s="3">
        <f t="shared" si="34"/>
        <v>257637</v>
      </c>
      <c r="R22" s="3">
        <f t="shared" si="34"/>
        <v>282836</v>
      </c>
      <c r="S22" s="3">
        <f t="shared" si="34"/>
        <v>307394</v>
      </c>
      <c r="T22" s="3">
        <f t="shared" si="34"/>
        <v>350018</v>
      </c>
      <c r="U22" s="3">
        <f>SUM(J22:M22)</f>
        <v>407786.03166372003</v>
      </c>
      <c r="V22" s="3">
        <f t="shared" si="34"/>
        <v>456211.14333651686</v>
      </c>
      <c r="W22" s="3">
        <f t="shared" si="34"/>
        <v>511190.53503853519</v>
      </c>
      <c r="X22" s="3">
        <f t="shared" si="34"/>
        <v>573688.2857862321</v>
      </c>
      <c r="Y22" s="3">
        <f t="shared" si="34"/>
        <v>644822.17642165825</v>
      </c>
    </row>
    <row r="23" spans="1:25" x14ac:dyDescent="0.2">
      <c r="A23" s="1" t="s">
        <v>8</v>
      </c>
      <c r="B23" s="1">
        <v>30612</v>
      </c>
      <c r="C23" s="1">
        <v>31916</v>
      </c>
      <c r="D23" s="1">
        <v>33229</v>
      </c>
      <c r="E23" s="1">
        <v>37575</v>
      </c>
      <c r="F23" s="1">
        <v>33712</v>
      </c>
      <c r="G23" s="1">
        <v>35507</v>
      </c>
      <c r="H23" s="1">
        <v>36474</v>
      </c>
      <c r="I23" s="1">
        <v>40613</v>
      </c>
      <c r="J23" s="1">
        <f>J22*(1-J43)</f>
        <v>38508.548400000007</v>
      </c>
      <c r="K23" s="1">
        <f t="shared" ref="K23:M23" si="36">K22*(1-K43)</f>
        <v>41215.871760000009</v>
      </c>
      <c r="L23" s="1">
        <f t="shared" si="36"/>
        <v>44164.812990480008</v>
      </c>
      <c r="M23" s="1">
        <f t="shared" si="36"/>
        <v>47380.900148282417</v>
      </c>
      <c r="O23" s="1">
        <v>71896</v>
      </c>
      <c r="P23" s="1">
        <v>84732</v>
      </c>
      <c r="Q23" s="1">
        <v>110939</v>
      </c>
      <c r="R23" s="1">
        <v>126203</v>
      </c>
      <c r="S23" s="1">
        <v>133332</v>
      </c>
      <c r="T23" s="1">
        <v>146302</v>
      </c>
      <c r="U23" s="1">
        <f>SUM(J23:M23)</f>
        <v>171270.13329876243</v>
      </c>
      <c r="V23" s="1">
        <f>V22*(1-V43)</f>
        <v>188027.19906384186</v>
      </c>
      <c r="W23" s="1">
        <f>W22*(1-W43)</f>
        <v>209184.41036640998</v>
      </c>
      <c r="X23" s="1">
        <f>X22*(1-X43)</f>
        <v>233064.48525602656</v>
      </c>
      <c r="Y23" s="1">
        <f>Y22*(1-Y43)</f>
        <v>260048.78158341916</v>
      </c>
    </row>
    <row r="24" spans="1:25" x14ac:dyDescent="0.2">
      <c r="A24" s="1" t="s">
        <v>9</v>
      </c>
      <c r="B24" s="1">
        <f>B22-B23</f>
        <v>39175</v>
      </c>
      <c r="C24" s="1">
        <f t="shared" ref="C24:M24" si="37">C22-C23</f>
        <v>42688</v>
      </c>
      <c r="D24" s="1">
        <f t="shared" si="37"/>
        <v>43464</v>
      </c>
      <c r="E24" s="1">
        <f t="shared" si="37"/>
        <v>48735</v>
      </c>
      <c r="F24" s="1">
        <f t="shared" si="37"/>
        <v>46827</v>
      </c>
      <c r="G24" s="1">
        <f t="shared" si="37"/>
        <v>49235</v>
      </c>
      <c r="H24" s="1">
        <f t="shared" si="37"/>
        <v>51794</v>
      </c>
      <c r="I24" s="1">
        <f t="shared" si="37"/>
        <v>55856</v>
      </c>
      <c r="J24" s="1">
        <f t="shared" si="37"/>
        <v>53178.471599999997</v>
      </c>
      <c r="K24" s="1">
        <f t="shared" si="37"/>
        <v>56917.156239999997</v>
      </c>
      <c r="L24" s="1">
        <f t="shared" si="37"/>
        <v>60989.503653519998</v>
      </c>
      <c r="M24" s="1">
        <f t="shared" si="37"/>
        <v>65430.766871437612</v>
      </c>
      <c r="O24" s="1">
        <f>O22-O23</f>
        <v>89961</v>
      </c>
      <c r="P24" s="1">
        <f>P22-P23</f>
        <v>97795</v>
      </c>
      <c r="Q24" s="1">
        <f>Q22-Q23</f>
        <v>146698</v>
      </c>
      <c r="R24" s="1">
        <f t="shared" ref="R24:T24" si="38">R22-R23</f>
        <v>156633</v>
      </c>
      <c r="S24" s="1">
        <f t="shared" si="38"/>
        <v>174062</v>
      </c>
      <c r="T24" s="1">
        <f t="shared" si="38"/>
        <v>203716</v>
      </c>
      <c r="U24" s="1">
        <f>U22-U23</f>
        <v>236515.8983649576</v>
      </c>
      <c r="V24" s="1">
        <f>V22-V23</f>
        <v>268183.94427267497</v>
      </c>
      <c r="W24" s="1">
        <f>W22-W23</f>
        <v>302006.12467212521</v>
      </c>
      <c r="X24" s="1">
        <f>X22-X23</f>
        <v>340623.80053020554</v>
      </c>
      <c r="Y24" s="1">
        <f>Y22-Y23</f>
        <v>384773.39483823907</v>
      </c>
    </row>
    <row r="25" spans="1:25" x14ac:dyDescent="0.2">
      <c r="A25" s="1" t="s">
        <v>10</v>
      </c>
      <c r="B25" s="1">
        <v>11468</v>
      </c>
      <c r="C25" s="1">
        <v>10588</v>
      </c>
      <c r="D25" s="1">
        <v>11258</v>
      </c>
      <c r="E25" s="1">
        <v>12113</v>
      </c>
      <c r="F25" s="1">
        <v>11903</v>
      </c>
      <c r="G25" s="1">
        <v>11860</v>
      </c>
      <c r="H25" s="1">
        <v>12447</v>
      </c>
      <c r="I25" s="1">
        <v>13116</v>
      </c>
      <c r="J25" s="1">
        <f>I25*(1+J39)</f>
        <v>12465.838293337758</v>
      </c>
      <c r="K25" s="1">
        <f t="shared" ref="K25:M25" si="39">J25*(1+K39)</f>
        <v>13342.24253644176</v>
      </c>
      <c r="L25" s="1">
        <f t="shared" si="39"/>
        <v>14296.862381725779</v>
      </c>
      <c r="M25" s="1">
        <f t="shared" si="39"/>
        <v>15337.961672979383</v>
      </c>
      <c r="O25" s="1">
        <v>26018</v>
      </c>
      <c r="P25" s="1">
        <v>27573</v>
      </c>
      <c r="Q25" s="1">
        <v>31562</v>
      </c>
      <c r="R25" s="1">
        <v>39500</v>
      </c>
      <c r="S25" s="1">
        <v>45247</v>
      </c>
      <c r="T25" s="1">
        <v>49326</v>
      </c>
      <c r="U25" s="1">
        <f>T25*(1+U38)</f>
        <v>57466.912552624875</v>
      </c>
      <c r="V25" s="1">
        <f t="shared" ref="V25:Y25" si="40">U25*(1+V38)</f>
        <v>64291.181756986873</v>
      </c>
      <c r="W25" s="1">
        <f t="shared" si="40"/>
        <v>72039.107506787623</v>
      </c>
      <c r="X25" s="1">
        <f t="shared" si="40"/>
        <v>80846.551847881216</v>
      </c>
      <c r="Y25" s="1">
        <f t="shared" si="40"/>
        <v>90871.037130018231</v>
      </c>
    </row>
    <row r="26" spans="1:25" x14ac:dyDescent="0.2">
      <c r="A26" s="1" t="s">
        <v>11</v>
      </c>
      <c r="B26" s="1">
        <v>6533</v>
      </c>
      <c r="C26" s="1">
        <v>6781</v>
      </c>
      <c r="D26" s="1">
        <v>6884</v>
      </c>
      <c r="E26" s="1">
        <v>7719</v>
      </c>
      <c r="F26" s="1">
        <v>6426</v>
      </c>
      <c r="G26" s="1">
        <v>6792</v>
      </c>
      <c r="H26" s="1">
        <v>7227</v>
      </c>
      <c r="I26" s="1">
        <v>7363</v>
      </c>
      <c r="J26" s="1">
        <f>I26*(1+J39)</f>
        <v>6998.0151992868186</v>
      </c>
      <c r="K26" s="1">
        <f t="shared" ref="K26:M26" si="41">J26*(1+K39)</f>
        <v>7490.0069987664438</v>
      </c>
      <c r="L26" s="1">
        <f t="shared" si="41"/>
        <v>8025.9071147184286</v>
      </c>
      <c r="M26" s="1">
        <f t="shared" si="41"/>
        <v>8610.3546659154617</v>
      </c>
      <c r="O26" s="1">
        <v>18464</v>
      </c>
      <c r="P26" s="1">
        <v>17946</v>
      </c>
      <c r="Q26" s="1">
        <v>22912</v>
      </c>
      <c r="R26" s="1">
        <v>26567</v>
      </c>
      <c r="S26" s="1">
        <v>27917</v>
      </c>
      <c r="T26" s="1">
        <v>27808</v>
      </c>
      <c r="U26" s="1">
        <f>T26*1.05</f>
        <v>29198.400000000001</v>
      </c>
      <c r="V26" s="1">
        <f t="shared" ref="V26:Y26" si="42">U26*1.05</f>
        <v>30658.320000000003</v>
      </c>
      <c r="W26" s="1">
        <f t="shared" si="42"/>
        <v>32191.236000000004</v>
      </c>
      <c r="X26" s="1">
        <f t="shared" si="42"/>
        <v>33800.797800000008</v>
      </c>
      <c r="Y26" s="1">
        <f t="shared" si="42"/>
        <v>35490.837690000008</v>
      </c>
    </row>
    <row r="27" spans="1:25" x14ac:dyDescent="0.2">
      <c r="A27" s="1" t="s">
        <v>12</v>
      </c>
      <c r="B27" s="1">
        <v>3759</v>
      </c>
      <c r="C27" s="1">
        <v>3481</v>
      </c>
      <c r="D27" s="1">
        <v>3979</v>
      </c>
      <c r="E27" s="1">
        <v>5206</v>
      </c>
      <c r="F27" s="1">
        <v>3026</v>
      </c>
      <c r="G27" s="1">
        <v>3158</v>
      </c>
      <c r="H27" s="1">
        <v>3599</v>
      </c>
      <c r="I27" s="1">
        <v>4405</v>
      </c>
      <c r="J27" s="1">
        <f>I27*(1+J39)</f>
        <v>4186.643617120526</v>
      </c>
      <c r="K27" s="1">
        <f t="shared" ref="K27:M27" si="43">J27*(1+K39)</f>
        <v>4480.983407519514</v>
      </c>
      <c r="L27" s="1">
        <f t="shared" si="43"/>
        <v>4801.5918566256523</v>
      </c>
      <c r="M27" s="1">
        <f t="shared" si="43"/>
        <v>5151.2443709571653</v>
      </c>
      <c r="O27" s="1">
        <f>9551+1697</f>
        <v>11248</v>
      </c>
      <c r="P27" s="1">
        <v>11052</v>
      </c>
      <c r="Q27" s="1">
        <v>13510</v>
      </c>
      <c r="R27" s="1">
        <v>15724</v>
      </c>
      <c r="S27" s="1">
        <v>16425</v>
      </c>
      <c r="T27" s="1">
        <v>14188</v>
      </c>
      <c r="U27" s="1">
        <f>T27*1.02</f>
        <v>14471.76</v>
      </c>
      <c r="V27" s="1">
        <f t="shared" ref="V27:Y27" si="44">U27*1.02</f>
        <v>14761.1952</v>
      </c>
      <c r="W27" s="1">
        <f t="shared" si="44"/>
        <v>15056.419104000001</v>
      </c>
      <c r="X27" s="1">
        <f t="shared" si="44"/>
        <v>15357.54748608</v>
      </c>
      <c r="Y27" s="1">
        <f t="shared" si="44"/>
        <v>15664.698435801602</v>
      </c>
    </row>
    <row r="28" spans="1:25" x14ac:dyDescent="0.2">
      <c r="A28" s="1" t="s">
        <v>49</v>
      </c>
      <c r="B28" s="1">
        <f>SUM(B25:B27)</f>
        <v>21760</v>
      </c>
      <c r="C28" s="1">
        <f t="shared" ref="C28:K28" si="45">SUM(C25:C27)</f>
        <v>20850</v>
      </c>
      <c r="D28" s="1">
        <f t="shared" si="45"/>
        <v>22121</v>
      </c>
      <c r="E28" s="1">
        <f t="shared" si="45"/>
        <v>25038</v>
      </c>
      <c r="F28" s="1">
        <f t="shared" si="45"/>
        <v>21355</v>
      </c>
      <c r="G28" s="1">
        <f t="shared" si="45"/>
        <v>21810</v>
      </c>
      <c r="H28" s="1">
        <f t="shared" si="45"/>
        <v>23273</v>
      </c>
      <c r="I28" s="1">
        <f t="shared" si="45"/>
        <v>24884</v>
      </c>
      <c r="J28" s="1">
        <f t="shared" si="45"/>
        <v>23650.497109745105</v>
      </c>
      <c r="K28" s="1">
        <f t="shared" si="45"/>
        <v>25313.232942727718</v>
      </c>
      <c r="L28" s="1">
        <f t="shared" ref="L28:M28" si="46">SUM(L25:L27)</f>
        <v>27124.36135306986</v>
      </c>
      <c r="M28" s="1">
        <f t="shared" si="46"/>
        <v>29099.560709852012</v>
      </c>
      <c r="O28" s="1">
        <f t="shared" ref="O28:Y28" si="47">SUM(O25:O27)</f>
        <v>55730</v>
      </c>
      <c r="P28" s="1">
        <f t="shared" si="47"/>
        <v>56571</v>
      </c>
      <c r="Q28" s="1">
        <f t="shared" si="47"/>
        <v>67984</v>
      </c>
      <c r="R28" s="1">
        <f t="shared" si="47"/>
        <v>81791</v>
      </c>
      <c r="S28" s="1">
        <f t="shared" si="47"/>
        <v>89589</v>
      </c>
      <c r="T28" s="1">
        <f t="shared" si="47"/>
        <v>91322</v>
      </c>
      <c r="U28" s="1">
        <f t="shared" si="47"/>
        <v>101137.07255262487</v>
      </c>
      <c r="V28" s="1">
        <f t="shared" si="47"/>
        <v>109710.69695698688</v>
      </c>
      <c r="W28" s="1">
        <f t="shared" si="47"/>
        <v>119286.76261078763</v>
      </c>
      <c r="X28" s="1">
        <f t="shared" si="47"/>
        <v>130004.89713396123</v>
      </c>
      <c r="Y28" s="1">
        <f t="shared" si="47"/>
        <v>142026.57325581985</v>
      </c>
    </row>
    <row r="29" spans="1:25" x14ac:dyDescent="0.2">
      <c r="A29" s="1" t="s">
        <v>48</v>
      </c>
      <c r="B29" s="1">
        <f>B24-B28</f>
        <v>17415</v>
      </c>
      <c r="C29" s="1">
        <f t="shared" ref="C29:K29" si="48">C24-C28</f>
        <v>21838</v>
      </c>
      <c r="D29" s="1">
        <f t="shared" si="48"/>
        <v>21343</v>
      </c>
      <c r="E29" s="1">
        <f t="shared" si="48"/>
        <v>23697</v>
      </c>
      <c r="F29" s="1">
        <f t="shared" si="48"/>
        <v>25472</v>
      </c>
      <c r="G29" s="1">
        <f t="shared" si="48"/>
        <v>27425</v>
      </c>
      <c r="H29" s="1">
        <f t="shared" si="48"/>
        <v>28521</v>
      </c>
      <c r="I29" s="1">
        <f t="shared" si="48"/>
        <v>30972</v>
      </c>
      <c r="J29" s="1">
        <f t="shared" si="48"/>
        <v>29527.974490254892</v>
      </c>
      <c r="K29" s="1">
        <f t="shared" si="48"/>
        <v>31603.923297272278</v>
      </c>
      <c r="L29" s="1">
        <f t="shared" ref="L29:M29" si="49">L24-L28</f>
        <v>33865.142300450141</v>
      </c>
      <c r="M29" s="1">
        <f t="shared" si="49"/>
        <v>36331.2061615856</v>
      </c>
      <c r="O29" s="1">
        <f t="shared" ref="O29:Y29" si="50">O24-O28</f>
        <v>34231</v>
      </c>
      <c r="P29" s="1">
        <f t="shared" si="50"/>
        <v>41224</v>
      </c>
      <c r="Q29" s="1">
        <f t="shared" si="50"/>
        <v>78714</v>
      </c>
      <c r="R29" s="1">
        <f t="shared" si="50"/>
        <v>74842</v>
      </c>
      <c r="S29" s="1">
        <f t="shared" si="50"/>
        <v>84473</v>
      </c>
      <c r="T29" s="1">
        <f t="shared" si="50"/>
        <v>112394</v>
      </c>
      <c r="U29" s="1">
        <f t="shared" si="50"/>
        <v>135378.82581233274</v>
      </c>
      <c r="V29" s="1">
        <f t="shared" si="50"/>
        <v>158473.24731568809</v>
      </c>
      <c r="W29" s="1">
        <f t="shared" si="50"/>
        <v>182719.36206133757</v>
      </c>
      <c r="X29" s="1">
        <f t="shared" si="50"/>
        <v>210618.90339624431</v>
      </c>
      <c r="Y29" s="1">
        <f t="shared" si="50"/>
        <v>242746.82158241922</v>
      </c>
    </row>
    <row r="30" spans="1:25" x14ac:dyDescent="0.2">
      <c r="A30" s="1" t="s">
        <v>13</v>
      </c>
      <c r="J30" s="1">
        <f>I56*$AB$96/4</f>
        <v>1271.6099999999999</v>
      </c>
      <c r="U30" s="1">
        <f>T56*$AB$96</f>
        <v>5086.4399999999996</v>
      </c>
      <c r="V30" s="1">
        <f>U56*$AB$96</f>
        <v>11990.811918479372</v>
      </c>
      <c r="W30" s="1">
        <f>V56*$AB$96</f>
        <v>20353.902797259911</v>
      </c>
      <c r="X30" s="1">
        <f>W56*$AB$96</f>
        <v>30302.586445387748</v>
      </c>
      <c r="Y30" s="1">
        <f>X56*$AB$96</f>
        <v>42091.487057451064</v>
      </c>
    </row>
    <row r="31" spans="1:25" x14ac:dyDescent="0.2">
      <c r="A31" s="1" t="s">
        <v>14</v>
      </c>
      <c r="B31" s="1">
        <v>790</v>
      </c>
      <c r="C31" s="1">
        <v>65</v>
      </c>
      <c r="D31" s="1">
        <v>-146</v>
      </c>
      <c r="E31" s="1">
        <v>715</v>
      </c>
      <c r="F31" s="1">
        <v>2843</v>
      </c>
      <c r="G31" s="1">
        <v>126</v>
      </c>
      <c r="H31" s="1">
        <v>3185</v>
      </c>
      <c r="I31" s="1">
        <v>1271</v>
      </c>
      <c r="J31" s="1">
        <v>1000</v>
      </c>
      <c r="O31" s="1">
        <v>5394</v>
      </c>
      <c r="P31" s="1">
        <v>6858</v>
      </c>
      <c r="S31" s="1">
        <f>SUM(B31:E31)</f>
        <v>1424</v>
      </c>
      <c r="T31" s="1">
        <f>SUM(F31:I31)</f>
        <v>7425</v>
      </c>
      <c r="U31" s="1">
        <v>1600</v>
      </c>
      <c r="V31" s="1">
        <f>U31*1.01</f>
        <v>1616</v>
      </c>
      <c r="W31" s="1">
        <f t="shared" ref="W31:Y31" si="51">V31*1.01</f>
        <v>1632.16</v>
      </c>
      <c r="X31" s="1">
        <f t="shared" si="51"/>
        <v>1648.4816000000001</v>
      </c>
      <c r="Y31" s="1">
        <f t="shared" si="51"/>
        <v>1664.966416</v>
      </c>
    </row>
    <row r="32" spans="1:25" x14ac:dyDescent="0.2">
      <c r="A32" s="1" t="s">
        <v>16</v>
      </c>
      <c r="B32" s="1">
        <f>B29+SUM(B30:B31)</f>
        <v>18205</v>
      </c>
      <c r="C32" s="1">
        <f t="shared" ref="C32:K32" si="52">C29+SUM(C30:C31)</f>
        <v>21903</v>
      </c>
      <c r="D32" s="1">
        <f t="shared" si="52"/>
        <v>21197</v>
      </c>
      <c r="E32" s="1">
        <f t="shared" si="52"/>
        <v>24412</v>
      </c>
      <c r="F32" s="1">
        <f t="shared" si="52"/>
        <v>28315</v>
      </c>
      <c r="G32" s="1">
        <f t="shared" si="52"/>
        <v>27551</v>
      </c>
      <c r="H32" s="1">
        <f t="shared" si="52"/>
        <v>31706</v>
      </c>
      <c r="I32" s="1">
        <f t="shared" si="52"/>
        <v>32243</v>
      </c>
      <c r="J32" s="1">
        <f t="shared" si="52"/>
        <v>31799.584490254892</v>
      </c>
      <c r="K32" s="1">
        <f t="shared" si="52"/>
        <v>31603.923297272278</v>
      </c>
      <c r="L32" s="1">
        <f t="shared" ref="L32:M32" si="53">L29+SUM(L30:L31)</f>
        <v>33865.142300450141</v>
      </c>
      <c r="M32" s="1">
        <f t="shared" si="53"/>
        <v>36331.2061615856</v>
      </c>
      <c r="N32" s="4"/>
      <c r="O32" s="1">
        <f t="shared" ref="O32:T32" si="54">SUM(O29:O31)</f>
        <v>39625</v>
      </c>
      <c r="P32" s="1">
        <f t="shared" si="54"/>
        <v>48082</v>
      </c>
      <c r="Q32" s="1">
        <f t="shared" si="54"/>
        <v>78714</v>
      </c>
      <c r="R32" s="1">
        <f t="shared" si="54"/>
        <v>74842</v>
      </c>
      <c r="S32" s="1">
        <f t="shared" si="54"/>
        <v>85897</v>
      </c>
      <c r="T32" s="1">
        <f t="shared" si="54"/>
        <v>119819</v>
      </c>
      <c r="U32" s="1">
        <f t="shared" ref="U32:Y32" si="55">SUM(U29:U31)</f>
        <v>142065.26581233274</v>
      </c>
      <c r="V32" s="1">
        <f t="shared" si="55"/>
        <v>172080.05923416745</v>
      </c>
      <c r="W32" s="1">
        <f t="shared" si="55"/>
        <v>204705.42485859749</v>
      </c>
      <c r="X32" s="1">
        <f t="shared" si="55"/>
        <v>242569.97144163205</v>
      </c>
      <c r="Y32" s="1">
        <f t="shared" si="55"/>
        <v>286503.27505587024</v>
      </c>
    </row>
    <row r="33" spans="1:219" x14ac:dyDescent="0.2">
      <c r="A33" s="1" t="s">
        <v>15</v>
      </c>
      <c r="B33" s="1">
        <v>3154</v>
      </c>
      <c r="C33" s="1">
        <v>3535</v>
      </c>
      <c r="D33" s="1">
        <v>1508</v>
      </c>
      <c r="E33" s="1">
        <v>3725</v>
      </c>
      <c r="F33" s="1">
        <v>4653</v>
      </c>
      <c r="G33" s="1">
        <v>3932</v>
      </c>
      <c r="H33" s="1">
        <v>5405</v>
      </c>
      <c r="I33" s="1">
        <v>5707</v>
      </c>
      <c r="J33" s="1">
        <f>J32*J40</f>
        <v>6041.9210531484296</v>
      </c>
      <c r="K33" s="1">
        <f>K32*K40</f>
        <v>6004.7454264817334</v>
      </c>
      <c r="L33" s="1">
        <f>L32*L40</f>
        <v>6434.3770370855273</v>
      </c>
      <c r="M33" s="1">
        <f>M32*M40</f>
        <v>6902.9291707012644</v>
      </c>
      <c r="O33" s="1">
        <v>5282</v>
      </c>
      <c r="P33" s="1">
        <v>7813</v>
      </c>
      <c r="Q33" s="1">
        <v>14701</v>
      </c>
      <c r="R33" s="1">
        <v>11356</v>
      </c>
      <c r="S33" s="1">
        <v>11922</v>
      </c>
      <c r="T33" s="1">
        <v>19697</v>
      </c>
      <c r="U33" s="1">
        <f>U32*U40</f>
        <v>26992.400504343223</v>
      </c>
      <c r="V33" s="1">
        <f>V32*V40</f>
        <v>32695.211254491816</v>
      </c>
      <c r="W33" s="1">
        <f>W32*W40</f>
        <v>38894.030723133525</v>
      </c>
      <c r="X33" s="1">
        <f>X32*X40</f>
        <v>46088.294573910091</v>
      </c>
      <c r="Y33" s="1">
        <f>Y32*Y40</f>
        <v>54435.622260615346</v>
      </c>
    </row>
    <row r="34" spans="1:219" s="3" customFormat="1" ht="15" x14ac:dyDescent="0.25">
      <c r="A34" s="3" t="s">
        <v>17</v>
      </c>
      <c r="B34" s="3">
        <f>B32-B33</f>
        <v>15051</v>
      </c>
      <c r="C34" s="3">
        <f t="shared" ref="C34:K34" si="56">C32-C33</f>
        <v>18368</v>
      </c>
      <c r="D34" s="3">
        <f t="shared" si="56"/>
        <v>19689</v>
      </c>
      <c r="E34" s="3">
        <f t="shared" si="56"/>
        <v>20687</v>
      </c>
      <c r="F34" s="3">
        <f t="shared" si="56"/>
        <v>23662</v>
      </c>
      <c r="G34" s="3">
        <f t="shared" si="56"/>
        <v>23619</v>
      </c>
      <c r="H34" s="3">
        <f t="shared" si="56"/>
        <v>26301</v>
      </c>
      <c r="I34" s="3">
        <f t="shared" si="56"/>
        <v>26536</v>
      </c>
      <c r="J34" s="3">
        <f t="shared" si="56"/>
        <v>25757.663437106465</v>
      </c>
      <c r="K34" s="3">
        <f t="shared" si="56"/>
        <v>25599.177870790547</v>
      </c>
      <c r="L34" s="3">
        <f t="shared" ref="L34:M34" si="57">L32-L33</f>
        <v>27430.765263364614</v>
      </c>
      <c r="M34" s="3">
        <f t="shared" si="57"/>
        <v>29428.276990884337</v>
      </c>
      <c r="O34" s="3">
        <f t="shared" ref="O34:T34" si="58">O32-O33</f>
        <v>34343</v>
      </c>
      <c r="P34" s="3">
        <f t="shared" si="58"/>
        <v>40269</v>
      </c>
      <c r="Q34" s="3">
        <f t="shared" si="58"/>
        <v>64013</v>
      </c>
      <c r="R34" s="3">
        <f t="shared" si="58"/>
        <v>63486</v>
      </c>
      <c r="S34" s="3">
        <f t="shared" si="58"/>
        <v>73975</v>
      </c>
      <c r="T34" s="3">
        <f t="shared" si="58"/>
        <v>100122</v>
      </c>
      <c r="U34" s="3">
        <f t="shared" ref="U34:Y34" si="59">U32-U33</f>
        <v>115072.86530798952</v>
      </c>
      <c r="V34" s="3">
        <f t="shared" si="59"/>
        <v>139384.84797967563</v>
      </c>
      <c r="W34" s="3">
        <f t="shared" si="59"/>
        <v>165811.39413546395</v>
      </c>
      <c r="X34" s="3">
        <f t="shared" si="59"/>
        <v>196481.67686772195</v>
      </c>
      <c r="Y34" s="3">
        <f t="shared" si="59"/>
        <v>232067.65279525489</v>
      </c>
      <c r="Z34" s="3">
        <f t="shared" ref="Z34:BE34" si="60">Y34*(1+$AB$97)</f>
        <v>234388.32932320744</v>
      </c>
      <c r="AA34" s="3">
        <f t="shared" si="60"/>
        <v>236732.2126164395</v>
      </c>
      <c r="AB34" s="3">
        <f t="shared" si="60"/>
        <v>239099.53474260389</v>
      </c>
      <c r="AC34" s="3">
        <f t="shared" si="60"/>
        <v>241490.53009002993</v>
      </c>
      <c r="AD34" s="3">
        <f t="shared" si="60"/>
        <v>243905.43539093024</v>
      </c>
      <c r="AE34" s="3">
        <f t="shared" si="60"/>
        <v>246344.48974483955</v>
      </c>
      <c r="AF34" s="3">
        <f t="shared" si="60"/>
        <v>248807.93464228796</v>
      </c>
      <c r="AG34" s="3">
        <f t="shared" si="60"/>
        <v>251296.01398871085</v>
      </c>
      <c r="AH34" s="3">
        <f t="shared" si="60"/>
        <v>253808.97412859797</v>
      </c>
      <c r="AI34" s="3">
        <f t="shared" si="60"/>
        <v>256347.06386988395</v>
      </c>
      <c r="AJ34" s="3">
        <f t="shared" si="60"/>
        <v>258910.53450858279</v>
      </c>
      <c r="AK34" s="3">
        <f t="shared" si="60"/>
        <v>261499.6398536686</v>
      </c>
      <c r="AL34" s="3">
        <f t="shared" si="60"/>
        <v>264114.6362522053</v>
      </c>
      <c r="AM34" s="3">
        <f t="shared" si="60"/>
        <v>266755.78261472733</v>
      </c>
      <c r="AN34" s="3">
        <f t="shared" si="60"/>
        <v>269423.34044087463</v>
      </c>
      <c r="AO34" s="3">
        <f t="shared" si="60"/>
        <v>272117.57384528336</v>
      </c>
      <c r="AP34" s="3">
        <f t="shared" si="60"/>
        <v>274838.74958373618</v>
      </c>
      <c r="AQ34" s="3">
        <f t="shared" si="60"/>
        <v>277587.13707957353</v>
      </c>
      <c r="AR34" s="3">
        <f t="shared" si="60"/>
        <v>280363.00845036929</v>
      </c>
      <c r="AS34" s="3">
        <f t="shared" si="60"/>
        <v>283166.63853487297</v>
      </c>
      <c r="AT34" s="3">
        <f t="shared" si="60"/>
        <v>285998.30492022168</v>
      </c>
      <c r="AU34" s="3">
        <f t="shared" si="60"/>
        <v>288858.28796942392</v>
      </c>
      <c r="AV34" s="3">
        <f t="shared" si="60"/>
        <v>291746.87084911816</v>
      </c>
      <c r="AW34" s="3">
        <f t="shared" si="60"/>
        <v>294664.33955760935</v>
      </c>
      <c r="AX34" s="3">
        <f t="shared" si="60"/>
        <v>297610.98295318545</v>
      </c>
      <c r="AY34" s="3">
        <f t="shared" si="60"/>
        <v>300587.09278271731</v>
      </c>
      <c r="AZ34" s="3">
        <f t="shared" si="60"/>
        <v>303592.96371054451</v>
      </c>
      <c r="BA34" s="3">
        <f t="shared" si="60"/>
        <v>306628.89334764995</v>
      </c>
      <c r="BB34" s="3">
        <f t="shared" si="60"/>
        <v>309695.18228112644</v>
      </c>
      <c r="BC34" s="3">
        <f t="shared" si="60"/>
        <v>312792.13410393771</v>
      </c>
      <c r="BD34" s="3">
        <f t="shared" si="60"/>
        <v>315920.05544497707</v>
      </c>
      <c r="BE34" s="3">
        <f t="shared" si="60"/>
        <v>319079.25599942682</v>
      </c>
      <c r="BF34" s="3">
        <f t="shared" ref="BF34:CK34" si="61">BE34*(1+$AB$97)</f>
        <v>322270.04855942109</v>
      </c>
      <c r="BG34" s="3">
        <f t="shared" si="61"/>
        <v>325492.74904501531</v>
      </c>
      <c r="BH34" s="3">
        <f t="shared" si="61"/>
        <v>328747.67653546546</v>
      </c>
      <c r="BI34" s="3">
        <f t="shared" si="61"/>
        <v>332035.15330082009</v>
      </c>
      <c r="BJ34" s="3">
        <f t="shared" si="61"/>
        <v>335355.50483382831</v>
      </c>
      <c r="BK34" s="3">
        <f t="shared" si="61"/>
        <v>338709.05988216662</v>
      </c>
      <c r="BL34" s="3">
        <f t="shared" si="61"/>
        <v>342096.15048098832</v>
      </c>
      <c r="BM34" s="3">
        <f t="shared" si="61"/>
        <v>345517.11198579823</v>
      </c>
      <c r="BN34" s="3">
        <f t="shared" si="61"/>
        <v>348972.28310565621</v>
      </c>
      <c r="BO34" s="3">
        <f t="shared" si="61"/>
        <v>352462.00593671278</v>
      </c>
      <c r="BP34" s="3">
        <f t="shared" si="61"/>
        <v>355986.62599607994</v>
      </c>
      <c r="BQ34" s="3">
        <f t="shared" si="61"/>
        <v>359546.49225604074</v>
      </c>
      <c r="BR34" s="3">
        <f t="shared" si="61"/>
        <v>363141.95717860118</v>
      </c>
      <c r="BS34" s="3">
        <f t="shared" si="61"/>
        <v>366773.37675038719</v>
      </c>
      <c r="BT34" s="3">
        <f t="shared" si="61"/>
        <v>370441.11051789107</v>
      </c>
      <c r="BU34" s="3">
        <f t="shared" si="61"/>
        <v>374145.52162307</v>
      </c>
      <c r="BV34" s="3">
        <f t="shared" si="61"/>
        <v>377886.97683930071</v>
      </c>
      <c r="BW34" s="3">
        <f t="shared" si="61"/>
        <v>381665.8466076937</v>
      </c>
      <c r="BX34" s="3">
        <f t="shared" si="61"/>
        <v>385482.50507377065</v>
      </c>
      <c r="BY34" s="3">
        <f t="shared" si="61"/>
        <v>389337.33012450836</v>
      </c>
      <c r="BZ34" s="3">
        <f t="shared" si="61"/>
        <v>393230.70342575345</v>
      </c>
      <c r="CA34" s="3">
        <f t="shared" si="61"/>
        <v>397163.01046001102</v>
      </c>
      <c r="CB34" s="3">
        <f t="shared" si="61"/>
        <v>401134.64056461112</v>
      </c>
      <c r="CC34" s="3">
        <f t="shared" si="61"/>
        <v>405145.98697025725</v>
      </c>
      <c r="CD34" s="3">
        <f t="shared" si="61"/>
        <v>409197.44683995983</v>
      </c>
      <c r="CE34" s="3">
        <f t="shared" si="61"/>
        <v>413289.42130835942</v>
      </c>
      <c r="CF34" s="3">
        <f t="shared" si="61"/>
        <v>417422.31552144303</v>
      </c>
      <c r="CG34" s="3">
        <f t="shared" si="61"/>
        <v>421596.53867665748</v>
      </c>
      <c r="CH34" s="3">
        <f t="shared" si="61"/>
        <v>425812.50406342407</v>
      </c>
      <c r="CI34" s="3">
        <f t="shared" si="61"/>
        <v>430070.62910405832</v>
      </c>
      <c r="CJ34" s="3">
        <f t="shared" si="61"/>
        <v>434371.3353950989</v>
      </c>
      <c r="CK34" s="3">
        <f t="shared" si="61"/>
        <v>438715.04874904989</v>
      </c>
      <c r="CL34" s="3">
        <f t="shared" ref="CL34:DQ34" si="62">CK34*(1+$AB$97)</f>
        <v>443102.19923654041</v>
      </c>
      <c r="CM34" s="3">
        <f t="shared" si="62"/>
        <v>447533.22122890584</v>
      </c>
      <c r="CN34" s="3">
        <f t="shared" si="62"/>
        <v>452008.55344119488</v>
      </c>
      <c r="CO34" s="3">
        <f t="shared" si="62"/>
        <v>456528.63897560682</v>
      </c>
      <c r="CP34" s="3">
        <f t="shared" si="62"/>
        <v>461093.9253653629</v>
      </c>
      <c r="CQ34" s="3">
        <f t="shared" si="62"/>
        <v>465704.86461901653</v>
      </c>
      <c r="CR34" s="3">
        <f t="shared" si="62"/>
        <v>470361.91326520668</v>
      </c>
      <c r="CS34" s="3">
        <f t="shared" si="62"/>
        <v>475065.53239785874</v>
      </c>
      <c r="CT34" s="3">
        <f t="shared" si="62"/>
        <v>479816.18772183731</v>
      </c>
      <c r="CU34" s="3">
        <f t="shared" si="62"/>
        <v>484614.34959905571</v>
      </c>
      <c r="CV34" s="3">
        <f t="shared" si="62"/>
        <v>489460.49309504626</v>
      </c>
      <c r="CW34" s="3">
        <f t="shared" si="62"/>
        <v>494355.0980259967</v>
      </c>
      <c r="CX34" s="3">
        <f t="shared" si="62"/>
        <v>499298.64900625666</v>
      </c>
      <c r="CY34" s="3">
        <f t="shared" si="62"/>
        <v>504291.63549631921</v>
      </c>
      <c r="CZ34" s="3">
        <f t="shared" si="62"/>
        <v>509334.55185128242</v>
      </c>
      <c r="DA34" s="3">
        <f t="shared" si="62"/>
        <v>514427.89736979525</v>
      </c>
      <c r="DB34" s="3">
        <f t="shared" si="62"/>
        <v>519572.17634349322</v>
      </c>
      <c r="DC34" s="3">
        <f t="shared" si="62"/>
        <v>524767.89810692822</v>
      </c>
      <c r="DD34" s="3">
        <f t="shared" si="62"/>
        <v>530015.57708799746</v>
      </c>
      <c r="DE34" s="3">
        <f t="shared" si="62"/>
        <v>535315.7328588774</v>
      </c>
      <c r="DF34" s="3">
        <f t="shared" si="62"/>
        <v>540668.89018746617</v>
      </c>
      <c r="DG34" s="3">
        <f t="shared" si="62"/>
        <v>546075.57908934087</v>
      </c>
      <c r="DH34" s="3">
        <f t="shared" si="62"/>
        <v>551536.33488023432</v>
      </c>
      <c r="DI34" s="3">
        <f t="shared" si="62"/>
        <v>557051.69822903664</v>
      </c>
      <c r="DJ34" s="3">
        <f t="shared" si="62"/>
        <v>562622.21521132707</v>
      </c>
      <c r="DK34" s="3">
        <f t="shared" si="62"/>
        <v>568248.4373634404</v>
      </c>
      <c r="DL34" s="3">
        <f t="shared" si="62"/>
        <v>573930.92173707485</v>
      </c>
      <c r="DM34" s="3">
        <f t="shared" si="62"/>
        <v>579670.23095444555</v>
      </c>
      <c r="DN34" s="3">
        <f t="shared" si="62"/>
        <v>585466.93326398998</v>
      </c>
      <c r="DO34" s="3">
        <f t="shared" si="62"/>
        <v>591321.60259662988</v>
      </c>
      <c r="DP34" s="3">
        <f t="shared" si="62"/>
        <v>597234.81862259621</v>
      </c>
      <c r="DQ34" s="3">
        <f t="shared" si="62"/>
        <v>603207.16680882219</v>
      </c>
      <c r="DR34" s="3">
        <f t="shared" ref="DR34:EW34" si="63">DQ34*(1+$AB$97)</f>
        <v>609239.2384769104</v>
      </c>
      <c r="DS34" s="3">
        <f t="shared" si="63"/>
        <v>615331.63086167956</v>
      </c>
      <c r="DT34" s="3">
        <f t="shared" si="63"/>
        <v>621484.94717029633</v>
      </c>
      <c r="DU34" s="3">
        <f t="shared" si="63"/>
        <v>627699.79664199927</v>
      </c>
      <c r="DV34" s="3">
        <f t="shared" si="63"/>
        <v>633976.7946084193</v>
      </c>
      <c r="DW34" s="3">
        <f t="shared" si="63"/>
        <v>640316.56255450344</v>
      </c>
      <c r="DX34" s="3">
        <f t="shared" si="63"/>
        <v>646719.72818004852</v>
      </c>
      <c r="DY34" s="3">
        <f t="shared" si="63"/>
        <v>653186.92546184896</v>
      </c>
      <c r="DZ34" s="3">
        <f t="shared" si="63"/>
        <v>659718.7947164675</v>
      </c>
      <c r="EA34" s="3">
        <f t="shared" si="63"/>
        <v>666315.98266363214</v>
      </c>
      <c r="EB34" s="3">
        <f t="shared" si="63"/>
        <v>672979.14249026845</v>
      </c>
      <c r="EC34" s="3">
        <f t="shared" si="63"/>
        <v>679708.93391517119</v>
      </c>
      <c r="ED34" s="3">
        <f t="shared" si="63"/>
        <v>686506.02325432294</v>
      </c>
      <c r="EE34" s="3">
        <f t="shared" si="63"/>
        <v>693371.08348686621</v>
      </c>
      <c r="EF34" s="3">
        <f t="shared" si="63"/>
        <v>700304.79432173492</v>
      </c>
      <c r="EG34" s="3">
        <f t="shared" si="63"/>
        <v>707307.84226495225</v>
      </c>
      <c r="EH34" s="3">
        <f t="shared" si="63"/>
        <v>714380.92068760179</v>
      </c>
      <c r="EI34" s="3">
        <f t="shared" si="63"/>
        <v>721524.72989447776</v>
      </c>
      <c r="EJ34" s="3">
        <f t="shared" si="63"/>
        <v>728739.9771934225</v>
      </c>
      <c r="EK34" s="3">
        <f t="shared" si="63"/>
        <v>736027.37696535676</v>
      </c>
      <c r="EL34" s="3">
        <f t="shared" si="63"/>
        <v>743387.65073501028</v>
      </c>
      <c r="EM34" s="3">
        <f t="shared" si="63"/>
        <v>750821.5272423604</v>
      </c>
      <c r="EN34" s="3">
        <f t="shared" si="63"/>
        <v>758329.74251478398</v>
      </c>
      <c r="EO34" s="3">
        <f t="shared" si="63"/>
        <v>765913.03993993183</v>
      </c>
      <c r="EP34" s="3">
        <f t="shared" si="63"/>
        <v>773572.17033933115</v>
      </c>
      <c r="EQ34" s="3">
        <f t="shared" si="63"/>
        <v>781307.89204272442</v>
      </c>
      <c r="ER34" s="3">
        <f t="shared" si="63"/>
        <v>789120.97096315166</v>
      </c>
      <c r="ES34" s="3">
        <f t="shared" si="63"/>
        <v>797012.18067278317</v>
      </c>
      <c r="ET34" s="3">
        <f t="shared" si="63"/>
        <v>804982.30247951101</v>
      </c>
      <c r="EU34" s="3">
        <f t="shared" si="63"/>
        <v>813032.12550430617</v>
      </c>
      <c r="EV34" s="3">
        <f t="shared" si="63"/>
        <v>821162.4467593492</v>
      </c>
      <c r="EW34" s="3">
        <f t="shared" si="63"/>
        <v>829374.0712269427</v>
      </c>
      <c r="EX34" s="3">
        <f t="shared" ref="EX34:GC34" si="64">EW34*(1+$AB$97)</f>
        <v>837667.81193921214</v>
      </c>
      <c r="EY34" s="3">
        <f t="shared" si="64"/>
        <v>846044.49005860428</v>
      </c>
      <c r="EZ34" s="3">
        <f t="shared" si="64"/>
        <v>854504.93495919032</v>
      </c>
      <c r="FA34" s="3">
        <f t="shared" si="64"/>
        <v>863049.98430878227</v>
      </c>
      <c r="FB34" s="3">
        <f t="shared" si="64"/>
        <v>871680.48415187013</v>
      </c>
      <c r="FC34" s="3">
        <f t="shared" si="64"/>
        <v>880397.28899338888</v>
      </c>
      <c r="FD34" s="3">
        <f t="shared" si="64"/>
        <v>889201.26188332273</v>
      </c>
      <c r="FE34" s="3">
        <f t="shared" si="64"/>
        <v>898093.27450215595</v>
      </c>
      <c r="FF34" s="3">
        <f t="shared" si="64"/>
        <v>907074.20724717749</v>
      </c>
      <c r="FG34" s="3">
        <f t="shared" si="64"/>
        <v>916144.94931964925</v>
      </c>
      <c r="FH34" s="3">
        <f t="shared" si="64"/>
        <v>925306.3988128457</v>
      </c>
      <c r="FI34" s="3">
        <f t="shared" si="64"/>
        <v>934559.46280097414</v>
      </c>
      <c r="FJ34" s="3">
        <f t="shared" si="64"/>
        <v>943905.05742898386</v>
      </c>
      <c r="FK34" s="3">
        <f t="shared" si="64"/>
        <v>953344.10800327372</v>
      </c>
      <c r="FL34" s="3">
        <f t="shared" si="64"/>
        <v>962877.54908330645</v>
      </c>
      <c r="FM34" s="3">
        <f t="shared" si="64"/>
        <v>972506.32457413955</v>
      </c>
      <c r="FN34" s="3">
        <f t="shared" si="64"/>
        <v>982231.38781988097</v>
      </c>
      <c r="FO34" s="3">
        <f t="shared" si="64"/>
        <v>992053.70169807982</v>
      </c>
      <c r="FP34" s="3">
        <f t="shared" si="64"/>
        <v>1001974.2387150606</v>
      </c>
      <c r="FQ34" s="3">
        <f t="shared" si="64"/>
        <v>1011993.9811022113</v>
      </c>
      <c r="FR34" s="3">
        <f t="shared" si="64"/>
        <v>1022113.9209132334</v>
      </c>
      <c r="FS34" s="3">
        <f t="shared" si="64"/>
        <v>1032335.0601223657</v>
      </c>
      <c r="FT34" s="3">
        <f t="shared" si="64"/>
        <v>1042658.4107235894</v>
      </c>
      <c r="FU34" s="3">
        <f t="shared" si="64"/>
        <v>1053084.9948308254</v>
      </c>
      <c r="FV34" s="3">
        <f t="shared" si="64"/>
        <v>1063615.8447791336</v>
      </c>
      <c r="FW34" s="3">
        <f t="shared" si="64"/>
        <v>1074252.0032269249</v>
      </c>
      <c r="FX34" s="3">
        <f t="shared" si="64"/>
        <v>1084994.5232591941</v>
      </c>
      <c r="FY34" s="3">
        <f t="shared" si="64"/>
        <v>1095844.4684917862</v>
      </c>
      <c r="FZ34" s="3">
        <f t="shared" si="64"/>
        <v>1106802.913176704</v>
      </c>
      <c r="GA34" s="3">
        <f t="shared" si="64"/>
        <v>1117870.9423084711</v>
      </c>
      <c r="GB34" s="3">
        <f t="shared" si="64"/>
        <v>1129049.6517315558</v>
      </c>
      <c r="GC34" s="3">
        <f t="shared" si="64"/>
        <v>1140340.1482488713</v>
      </c>
      <c r="GD34" s="3">
        <f t="shared" ref="GD34:HK34" si="65">GC34*(1+$AB$97)</f>
        <v>1151743.54973136</v>
      </c>
      <c r="GE34" s="3">
        <f t="shared" si="65"/>
        <v>1163260.9852286736</v>
      </c>
      <c r="GF34" s="3">
        <f t="shared" si="65"/>
        <v>1174893.5950809603</v>
      </c>
      <c r="GG34" s="3">
        <f t="shared" si="65"/>
        <v>1186642.5310317699</v>
      </c>
      <c r="GH34" s="3">
        <f t="shared" si="65"/>
        <v>1198508.9563420876</v>
      </c>
      <c r="GI34" s="3">
        <f t="shared" si="65"/>
        <v>1210494.0459055086</v>
      </c>
      <c r="GJ34" s="3">
        <f t="shared" si="65"/>
        <v>1222598.9863645637</v>
      </c>
      <c r="GK34" s="3">
        <f t="shared" si="65"/>
        <v>1234824.9762282094</v>
      </c>
      <c r="GL34" s="3">
        <f t="shared" si="65"/>
        <v>1247173.2259904915</v>
      </c>
      <c r="GM34" s="3">
        <f t="shared" si="65"/>
        <v>1259644.9582503964</v>
      </c>
      <c r="GN34" s="3">
        <f t="shared" si="65"/>
        <v>1272241.4078329003</v>
      </c>
      <c r="GO34" s="3">
        <f t="shared" si="65"/>
        <v>1284963.8219112293</v>
      </c>
      <c r="GP34" s="3">
        <f t="shared" si="65"/>
        <v>1297813.4601303416</v>
      </c>
      <c r="GQ34" s="3">
        <f t="shared" si="65"/>
        <v>1310791.594731645</v>
      </c>
      <c r="GR34" s="3">
        <f t="shared" si="65"/>
        <v>1323899.5106789614</v>
      </c>
      <c r="GS34" s="3">
        <f t="shared" si="65"/>
        <v>1337138.5057857509</v>
      </c>
      <c r="GT34" s="3">
        <f t="shared" si="65"/>
        <v>1350509.8908436084</v>
      </c>
      <c r="GU34" s="3">
        <f t="shared" si="65"/>
        <v>1364014.9897520444</v>
      </c>
      <c r="GV34" s="3">
        <f t="shared" si="65"/>
        <v>1377655.1396495649</v>
      </c>
      <c r="GW34" s="3">
        <f t="shared" si="65"/>
        <v>1391431.6910460605</v>
      </c>
      <c r="GX34" s="3">
        <f t="shared" si="65"/>
        <v>1405346.0079565211</v>
      </c>
      <c r="GY34" s="3">
        <f t="shared" si="65"/>
        <v>1419399.4680360863</v>
      </c>
      <c r="GZ34" s="3">
        <f t="shared" si="65"/>
        <v>1433593.4627164472</v>
      </c>
      <c r="HA34" s="3">
        <f t="shared" si="65"/>
        <v>1447929.3973436116</v>
      </c>
      <c r="HB34" s="3">
        <f t="shared" si="65"/>
        <v>1462408.6913170477</v>
      </c>
      <c r="HC34" s="3">
        <f t="shared" si="65"/>
        <v>1477032.7782302182</v>
      </c>
      <c r="HD34" s="3">
        <f t="shared" si="65"/>
        <v>1491803.1060125204</v>
      </c>
      <c r="HE34" s="3">
        <f t="shared" si="65"/>
        <v>1506721.1370726456</v>
      </c>
      <c r="HF34" s="3">
        <f t="shared" si="65"/>
        <v>1521788.3484433722</v>
      </c>
      <c r="HG34" s="3">
        <f t="shared" si="65"/>
        <v>1537006.2319278058</v>
      </c>
      <c r="HH34" s="3">
        <f t="shared" si="65"/>
        <v>1552376.2942470838</v>
      </c>
      <c r="HI34" s="3">
        <f t="shared" si="65"/>
        <v>1567900.0571895547</v>
      </c>
      <c r="HJ34" s="3">
        <f t="shared" si="65"/>
        <v>1583579.0577614503</v>
      </c>
      <c r="HK34" s="3">
        <f t="shared" si="65"/>
        <v>1599414.8483390647</v>
      </c>
    </row>
    <row r="35" spans="1:219" s="3" customFormat="1" ht="15" x14ac:dyDescent="0.25">
      <c r="A35" s="1" t="s">
        <v>51</v>
      </c>
      <c r="B35" s="7" t="e">
        <f>B34/B36</f>
        <v>#DIV/0!</v>
      </c>
      <c r="C35" s="7">
        <f t="shared" ref="C35:F35" si="66">C34/C36</f>
        <v>1.439047320589157</v>
      </c>
      <c r="D35" s="7" t="e">
        <f t="shared" si="66"/>
        <v>#DIV/0!</v>
      </c>
      <c r="E35" s="7" t="e">
        <f t="shared" si="66"/>
        <v>#DIV/0!</v>
      </c>
      <c r="F35" s="7" t="e">
        <f t="shared" si="66"/>
        <v>#DIV/0!</v>
      </c>
      <c r="G35" s="7">
        <f>G34/G36</f>
        <v>1.8902761104441776</v>
      </c>
      <c r="H35" s="7">
        <f>H34/H36</f>
        <v>2.1485989706723307</v>
      </c>
      <c r="I35" s="7">
        <f>I34/I36</f>
        <v>2.1662040816326531</v>
      </c>
      <c r="J35" s="7">
        <f t="shared" ref="J35:M35" si="67">J34/J36</f>
        <v>2.1026664030290991</v>
      </c>
      <c r="K35" s="7">
        <f t="shared" si="67"/>
        <v>2.0897288057788201</v>
      </c>
      <c r="L35" s="7">
        <f t="shared" si="67"/>
        <v>2.2392461439481317</v>
      </c>
      <c r="M35" s="7">
        <f t="shared" si="67"/>
        <v>2.4023083257864766</v>
      </c>
      <c r="N35" s="7"/>
      <c r="O35" s="7"/>
      <c r="P35" s="7"/>
      <c r="Q35" s="7"/>
      <c r="R35" s="7"/>
      <c r="S35" s="4"/>
      <c r="T35" s="7">
        <f t="shared" ref="T35" si="68">T34/T36</f>
        <v>8.1732244897959188</v>
      </c>
      <c r="U35" s="7">
        <f t="shared" ref="U35" si="69">U34/U36</f>
        <v>9.2095130298511023</v>
      </c>
      <c r="V35" s="7">
        <f t="shared" ref="V35" si="70">V34/V36</f>
        <v>10.936519547401364</v>
      </c>
      <c r="W35" s="7">
        <f t="shared" ref="W35" si="71">W34/W36</f>
        <v>12.75492081765147</v>
      </c>
      <c r="X35" s="7">
        <f t="shared" ref="X35" si="72">X34/X36</f>
        <v>14.817852936511386</v>
      </c>
      <c r="Y35" s="7">
        <f t="shared" ref="Y35" si="73">Y34/Y36</f>
        <v>17.158434538903997</v>
      </c>
    </row>
    <row r="36" spans="1:219" s="3" customFormat="1" ht="15" x14ac:dyDescent="0.25">
      <c r="A36" s="1" t="s">
        <v>2</v>
      </c>
      <c r="C36" s="1">
        <v>12764</v>
      </c>
      <c r="G36" s="1">
        <v>12495</v>
      </c>
      <c r="H36" s="1">
        <f>5843+5534+864</f>
        <v>12241</v>
      </c>
      <c r="I36" s="1">
        <v>12250</v>
      </c>
      <c r="J36" s="1">
        <v>12250</v>
      </c>
      <c r="K36" s="1">
        <v>12250</v>
      </c>
      <c r="L36" s="1">
        <v>12250</v>
      </c>
      <c r="M36" s="1">
        <v>12250</v>
      </c>
      <c r="O36" s="1"/>
      <c r="T36" s="1">
        <v>12250</v>
      </c>
      <c r="U36" s="1">
        <f>T36*1.02</f>
        <v>12495</v>
      </c>
      <c r="V36" s="1">
        <f t="shared" ref="V36:Y36" si="74">U36*1.02</f>
        <v>12744.9</v>
      </c>
      <c r="W36" s="1">
        <f t="shared" si="74"/>
        <v>12999.798000000001</v>
      </c>
      <c r="X36" s="1">
        <f t="shared" si="74"/>
        <v>13259.793960000001</v>
      </c>
      <c r="Y36" s="1">
        <f t="shared" si="74"/>
        <v>13524.989839200001</v>
      </c>
    </row>
    <row r="37" spans="1:219" s="3" customFormat="1" ht="15" x14ac:dyDescent="0.25">
      <c r="O37" s="1"/>
      <c r="T37" s="1"/>
      <c r="U37" s="1"/>
      <c r="V37" s="1"/>
      <c r="W37" s="1"/>
      <c r="X37" s="1"/>
      <c r="Y37" s="1"/>
    </row>
    <row r="38" spans="1:219" ht="15" x14ac:dyDescent="0.25">
      <c r="A38" s="3" t="s">
        <v>43</v>
      </c>
      <c r="B38" s="3"/>
      <c r="C38" s="3"/>
      <c r="D38" s="3"/>
      <c r="E38" s="3"/>
      <c r="F38" s="5">
        <f t="shared" ref="F38:M38" si="75">F22/B22-1</f>
        <v>0.15406880937710454</v>
      </c>
      <c r="G38" s="5">
        <f t="shared" si="75"/>
        <v>0.13589083695244231</v>
      </c>
      <c r="H38" s="5">
        <f t="shared" si="75"/>
        <v>0.15092642092498654</v>
      </c>
      <c r="I38" s="5">
        <f t="shared" si="75"/>
        <v>0.11770362646275045</v>
      </c>
      <c r="J38" s="5">
        <f t="shared" si="75"/>
        <v>0.13841766100895225</v>
      </c>
      <c r="K38" s="5">
        <f t="shared" si="75"/>
        <v>0.15802114653890631</v>
      </c>
      <c r="L38" s="5">
        <f t="shared" si="75"/>
        <v>0.19130734404314143</v>
      </c>
      <c r="M38" s="5">
        <f t="shared" si="75"/>
        <v>0.16940848375872064</v>
      </c>
      <c r="N38" s="5"/>
      <c r="O38" s="5"/>
      <c r="P38" s="5">
        <f t="shared" ref="P38:Y38" si="76">P22/O22-1</f>
        <v>0.12770532012826141</v>
      </c>
      <c r="Q38" s="5">
        <f t="shared" si="76"/>
        <v>0.41150076427049154</v>
      </c>
      <c r="R38" s="5">
        <f t="shared" si="76"/>
        <v>9.7808156437157789E-2</v>
      </c>
      <c r="S38" s="5">
        <f t="shared" si="76"/>
        <v>8.6827702272695095E-2</v>
      </c>
      <c r="T38" s="5">
        <f t="shared" si="76"/>
        <v>0.13866243322901561</v>
      </c>
      <c r="U38" s="5">
        <f t="shared" si="76"/>
        <v>0.16504303111188579</v>
      </c>
      <c r="V38" s="5">
        <f t="shared" si="76"/>
        <v>0.11875127619067283</v>
      </c>
      <c r="W38" s="5">
        <f t="shared" si="76"/>
        <v>0.12051303986115847</v>
      </c>
      <c r="X38" s="5">
        <f t="shared" si="76"/>
        <v>0.1222592095586934</v>
      </c>
      <c r="Y38" s="5">
        <f t="shared" si="76"/>
        <v>0.12399397442452242</v>
      </c>
    </row>
    <row r="39" spans="1:219" s="3" customFormat="1" ht="15" x14ac:dyDescent="0.25">
      <c r="A39" s="3" t="s">
        <v>44</v>
      </c>
      <c r="C39" s="5">
        <f t="shared" ref="C39:M39" si="77">C22/B22-1</f>
        <v>6.9024316849843004E-2</v>
      </c>
      <c r="D39" s="5">
        <f t="shared" si="77"/>
        <v>2.8001179561417677E-2</v>
      </c>
      <c r="E39" s="5">
        <f t="shared" si="77"/>
        <v>0.12539605961430644</v>
      </c>
      <c r="F39" s="5">
        <f t="shared" si="77"/>
        <v>-6.6863631097207721E-2</v>
      </c>
      <c r="G39" s="5">
        <f t="shared" si="77"/>
        <v>5.218589751548941E-2</v>
      </c>
      <c r="H39" s="5">
        <f t="shared" si="77"/>
        <v>4.1608647423945655E-2</v>
      </c>
      <c r="I39" s="5">
        <f t="shared" si="77"/>
        <v>9.2910227942176071E-2</v>
      </c>
      <c r="J39" s="5">
        <f t="shared" si="77"/>
        <v>-4.9570120971503706E-2</v>
      </c>
      <c r="K39" s="5">
        <f t="shared" si="77"/>
        <v>7.0304477122279607E-2</v>
      </c>
      <c r="L39" s="5">
        <f t="shared" si="77"/>
        <v>7.1548680266953602E-2</v>
      </c>
      <c r="M39" s="5">
        <f t="shared" si="77"/>
        <v>7.2820123986388374E-2</v>
      </c>
      <c r="N39" s="5"/>
      <c r="Q39" s="5"/>
      <c r="R39" s="5"/>
      <c r="S39" s="5"/>
      <c r="T39" s="5"/>
      <c r="U39" s="5"/>
      <c r="V39" s="5"/>
      <c r="W39" s="5"/>
      <c r="X39" s="5"/>
      <c r="Y39" s="5"/>
      <c r="AB39" s="5"/>
    </row>
    <row r="40" spans="1:219" x14ac:dyDescent="0.2">
      <c r="A40" s="1" t="s">
        <v>32</v>
      </c>
      <c r="B40" s="4">
        <f t="shared" ref="B40:I40" si="78">B33/B32</f>
        <v>0.17324910738808019</v>
      </c>
      <c r="C40" s="4">
        <f t="shared" si="78"/>
        <v>0.16139341642697347</v>
      </c>
      <c r="D40" s="4">
        <f t="shared" si="78"/>
        <v>7.1142142756050381E-2</v>
      </c>
      <c r="E40" s="4">
        <f t="shared" si="78"/>
        <v>0.15258889070948714</v>
      </c>
      <c r="F40" s="4">
        <f t="shared" si="78"/>
        <v>0.16432986049796927</v>
      </c>
      <c r="G40" s="4">
        <f t="shared" si="78"/>
        <v>0.14271714275343908</v>
      </c>
      <c r="H40" s="4">
        <f t="shared" si="78"/>
        <v>0.17047246577934777</v>
      </c>
      <c r="I40" s="4">
        <f t="shared" si="78"/>
        <v>0.17699965884067859</v>
      </c>
      <c r="J40" s="4">
        <v>0.19</v>
      </c>
      <c r="K40" s="4">
        <v>0.19</v>
      </c>
      <c r="L40" s="4">
        <v>0.19</v>
      </c>
      <c r="M40" s="4">
        <v>0.19</v>
      </c>
      <c r="N40" s="4"/>
      <c r="O40" s="4">
        <f t="shared" ref="O40:T40" si="79">O33/O32</f>
        <v>0.13329968454258675</v>
      </c>
      <c r="P40" s="4">
        <f t="shared" si="79"/>
        <v>0.16249324071378063</v>
      </c>
      <c r="Q40" s="4">
        <f t="shared" si="79"/>
        <v>0.18676474324770689</v>
      </c>
      <c r="R40" s="4">
        <f t="shared" si="79"/>
        <v>0.15173298415328293</v>
      </c>
      <c r="S40" s="4">
        <f t="shared" si="79"/>
        <v>0.13879413716427816</v>
      </c>
      <c r="T40" s="4">
        <f t="shared" si="79"/>
        <v>0.16438962101169263</v>
      </c>
      <c r="U40" s="4">
        <v>0.19</v>
      </c>
      <c r="V40" s="4">
        <v>0.19</v>
      </c>
      <c r="W40" s="4">
        <v>0.19</v>
      </c>
      <c r="X40" s="4">
        <v>0.19</v>
      </c>
      <c r="Y40" s="4">
        <v>0.19</v>
      </c>
    </row>
    <row r="41" spans="1:219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19" x14ac:dyDescent="0.2">
      <c r="A42" s="1" t="s">
        <v>45</v>
      </c>
      <c r="B42" s="4">
        <f t="shared" ref="B42:M42" si="80">B34/B22</f>
        <v>0.21567054035851949</v>
      </c>
      <c r="C42" s="4">
        <f t="shared" si="80"/>
        <v>0.2462066377137955</v>
      </c>
      <c r="D42" s="4">
        <f t="shared" si="80"/>
        <v>0.25672486406842865</v>
      </c>
      <c r="E42" s="4">
        <f t="shared" si="80"/>
        <v>0.23968253968253969</v>
      </c>
      <c r="F42" s="4">
        <f t="shared" si="80"/>
        <v>0.29379555246526529</v>
      </c>
      <c r="G42" s="4">
        <f t="shared" si="80"/>
        <v>0.27871657501593072</v>
      </c>
      <c r="H42" s="4">
        <f t="shared" si="80"/>
        <v>0.29796755336022113</v>
      </c>
      <c r="I42" s="4">
        <f t="shared" si="80"/>
        <v>0.27507282132083882</v>
      </c>
      <c r="J42" s="4">
        <f t="shared" si="80"/>
        <v>0.28093031529551798</v>
      </c>
      <c r="K42" s="4">
        <f t="shared" si="80"/>
        <v>0.26086199919145003</v>
      </c>
      <c r="L42" s="4">
        <f t="shared" si="80"/>
        <v>0.26086199919145009</v>
      </c>
      <c r="M42" s="4">
        <f t="shared" si="80"/>
        <v>0.26086199919145003</v>
      </c>
      <c r="N42" s="4"/>
      <c r="O42" s="4">
        <f t="shared" ref="O42:Y42" si="81">O34/O22</f>
        <v>0.21218112284300339</v>
      </c>
      <c r="P42" s="4">
        <f t="shared" si="81"/>
        <v>0.22061941520980458</v>
      </c>
      <c r="Q42" s="4">
        <f t="shared" si="81"/>
        <v>0.24846198333313926</v>
      </c>
      <c r="R42" s="4">
        <f t="shared" si="81"/>
        <v>0.2244622325305124</v>
      </c>
      <c r="S42" s="4">
        <f t="shared" si="81"/>
        <v>0.24065206217427795</v>
      </c>
      <c r="T42" s="4">
        <f t="shared" si="81"/>
        <v>0.28604814609534368</v>
      </c>
      <c r="U42" s="4">
        <f t="shared" si="81"/>
        <v>0.28218932570717414</v>
      </c>
      <c r="V42" s="4">
        <f t="shared" si="81"/>
        <v>0.30552705696813859</v>
      </c>
      <c r="W42" s="4">
        <f t="shared" si="81"/>
        <v>0.32436319291976828</v>
      </c>
      <c r="X42" s="4">
        <f t="shared" si="81"/>
        <v>0.34248856345122414</v>
      </c>
      <c r="Y42" s="4">
        <f t="shared" si="81"/>
        <v>0.35989403168960277</v>
      </c>
    </row>
    <row r="43" spans="1:219" ht="15" x14ac:dyDescent="0.25">
      <c r="A43" s="3" t="s">
        <v>18</v>
      </c>
      <c r="B43" s="5">
        <f t="shared" ref="B43:I43" si="82">B24/B22</f>
        <v>0.56135096794531936</v>
      </c>
      <c r="C43" s="5">
        <f t="shared" si="82"/>
        <v>0.5721945204010509</v>
      </c>
      <c r="D43" s="5">
        <f t="shared" si="82"/>
        <v>0.56672708069836886</v>
      </c>
      <c r="E43" s="5">
        <f t="shared" si="82"/>
        <v>0.56465067778936395</v>
      </c>
      <c r="F43" s="5">
        <f t="shared" si="82"/>
        <v>0.58142018152696207</v>
      </c>
      <c r="G43" s="5">
        <f t="shared" si="82"/>
        <v>0.58099879634655782</v>
      </c>
      <c r="H43" s="5">
        <f t="shared" si="82"/>
        <v>0.58678116644763678</v>
      </c>
      <c r="I43" s="5">
        <f t="shared" si="82"/>
        <v>0.5790046543449191</v>
      </c>
      <c r="J43" s="5">
        <v>0.57999999999999996</v>
      </c>
      <c r="K43" s="5">
        <v>0.57999999999999996</v>
      </c>
      <c r="L43" s="5">
        <v>0.57999999999999996</v>
      </c>
      <c r="M43" s="5">
        <v>0.57999999999999996</v>
      </c>
      <c r="N43" s="5"/>
      <c r="O43" s="5">
        <f t="shared" ref="O43:T43" si="83">O24/O22</f>
        <v>0.5558054331910266</v>
      </c>
      <c r="P43" s="5">
        <f t="shared" si="83"/>
        <v>0.53578374706207854</v>
      </c>
      <c r="Q43" s="5">
        <f t="shared" si="83"/>
        <v>0.5693980290098084</v>
      </c>
      <c r="R43" s="5">
        <f t="shared" si="83"/>
        <v>0.55379442503783116</v>
      </c>
      <c r="S43" s="5">
        <f t="shared" si="83"/>
        <v>0.56625047984020505</v>
      </c>
      <c r="T43" s="5">
        <f t="shared" si="83"/>
        <v>0.58201578204549476</v>
      </c>
      <c r="U43" s="5">
        <f>T43*1.005</f>
        <v>0.58492586095572219</v>
      </c>
      <c r="V43" s="5">
        <f t="shared" ref="V43:Y43" si="84">U43*1.005</f>
        <v>0.58785049026050074</v>
      </c>
      <c r="W43" s="5">
        <f t="shared" si="84"/>
        <v>0.59078974271180318</v>
      </c>
      <c r="X43" s="5">
        <f t="shared" si="84"/>
        <v>0.5937436914253621</v>
      </c>
      <c r="Y43" s="5">
        <f t="shared" si="84"/>
        <v>0.59671240988248886</v>
      </c>
    </row>
    <row r="44" spans="1:219" x14ac:dyDescent="0.2">
      <c r="A44" s="1" t="s">
        <v>19</v>
      </c>
      <c r="B44" s="4">
        <f t="shared" ref="B44:M44" si="85">B29/B22</f>
        <v>0.24954504420594092</v>
      </c>
      <c r="C44" s="4">
        <f t="shared" si="85"/>
        <v>0.29271888906761029</v>
      </c>
      <c r="D44" s="4">
        <f t="shared" si="85"/>
        <v>0.27829136948613303</v>
      </c>
      <c r="E44" s="4">
        <f t="shared" si="85"/>
        <v>0.27455683003128256</v>
      </c>
      <c r="F44" s="4">
        <f t="shared" si="85"/>
        <v>0.31626913669154072</v>
      </c>
      <c r="G44" s="4">
        <f t="shared" si="85"/>
        <v>0.32362936914398999</v>
      </c>
      <c r="H44" s="4">
        <f t="shared" si="85"/>
        <v>0.32311823084243441</v>
      </c>
      <c r="I44" s="4">
        <f t="shared" si="85"/>
        <v>0.32105650519856122</v>
      </c>
      <c r="J44" s="4">
        <f t="shared" si="85"/>
        <v>0.32205185085364202</v>
      </c>
      <c r="K44" s="4">
        <f t="shared" si="85"/>
        <v>0.32205185085364202</v>
      </c>
      <c r="L44" s="4">
        <f t="shared" si="85"/>
        <v>0.32205185085364207</v>
      </c>
      <c r="M44" s="4">
        <f t="shared" si="85"/>
        <v>0.32205185085364202</v>
      </c>
      <c r="N44" s="4"/>
      <c r="O44" s="4">
        <f t="shared" ref="O44:Y44" si="86">O29/O22</f>
        <v>0.21148915400631421</v>
      </c>
      <c r="P44" s="4">
        <f t="shared" si="86"/>
        <v>0.22585151785763202</v>
      </c>
      <c r="Q44" s="4">
        <f t="shared" si="86"/>
        <v>0.3055228868524319</v>
      </c>
      <c r="R44" s="4">
        <f t="shared" si="86"/>
        <v>0.26461270842467011</v>
      </c>
      <c r="S44" s="4">
        <f t="shared" si="86"/>
        <v>0.27480367216015927</v>
      </c>
      <c r="T44" s="4">
        <f t="shared" si="86"/>
        <v>0.32110920009828064</v>
      </c>
      <c r="U44" s="4">
        <f t="shared" si="86"/>
        <v>0.33198495117648519</v>
      </c>
      <c r="V44" s="4">
        <f t="shared" si="86"/>
        <v>0.34736820796767087</v>
      </c>
      <c r="W44" s="4">
        <f t="shared" si="86"/>
        <v>0.35743885994986896</v>
      </c>
      <c r="X44" s="4">
        <f t="shared" si="86"/>
        <v>0.36713126032823545</v>
      </c>
      <c r="Y44" s="4">
        <f t="shared" si="86"/>
        <v>0.37645544842999268</v>
      </c>
    </row>
    <row r="45" spans="1:219" x14ac:dyDescent="0.2">
      <c r="A45" s="1" t="s">
        <v>107</v>
      </c>
      <c r="B45" s="4"/>
      <c r="C45" s="4"/>
      <c r="D45" s="4"/>
      <c r="E45" s="4"/>
      <c r="F45" s="4"/>
      <c r="G45" s="4"/>
      <c r="H45" s="4"/>
      <c r="I45" s="4">
        <f>I103/I22</f>
        <v>0.25746094600337932</v>
      </c>
      <c r="J45" s="4"/>
      <c r="K45" s="4"/>
      <c r="L45" s="4"/>
      <c r="M45" s="4"/>
      <c r="N45" s="4"/>
      <c r="O45" s="4">
        <f>O103/O22</f>
        <v>0</v>
      </c>
      <c r="P45" s="4">
        <f>P103/P22</f>
        <v>0</v>
      </c>
      <c r="Q45" s="4">
        <f t="shared" ref="Q45:Y45" si="87">Q103/Q22</f>
        <v>0</v>
      </c>
      <c r="R45" s="4">
        <f t="shared" si="87"/>
        <v>0.21217242500954617</v>
      </c>
      <c r="S45" s="4">
        <f t="shared" si="87"/>
        <v>0.22607793255561268</v>
      </c>
      <c r="T45" s="4">
        <f t="shared" si="87"/>
        <v>0.20354381774651589</v>
      </c>
      <c r="U45" s="4">
        <f t="shared" si="87"/>
        <v>0.15887589108818778</v>
      </c>
      <c r="V45" s="4">
        <f t="shared" si="87"/>
        <v>0.20755657978355371</v>
      </c>
      <c r="W45" s="4">
        <f t="shared" si="87"/>
        <v>0.24786183272583542</v>
      </c>
      <c r="X45" s="4">
        <f t="shared" si="87"/>
        <v>0.28411521248778976</v>
      </c>
      <c r="Y45" s="4">
        <f t="shared" si="87"/>
        <v>0.3167737021862822</v>
      </c>
    </row>
    <row r="46" spans="1:219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9"/>
      <c r="S46" s="4"/>
      <c r="T46" s="4"/>
      <c r="U46" s="4"/>
      <c r="V46" s="4"/>
      <c r="W46" s="9"/>
      <c r="X46" s="4"/>
      <c r="Y46" s="4"/>
    </row>
    <row r="47" spans="1:219" x14ac:dyDescent="0.2">
      <c r="A47" s="1" t="s">
        <v>105</v>
      </c>
      <c r="C47" s="4">
        <f t="shared" ref="C47:M47" si="88">C19/B19-1</f>
        <v>6.9785833023998878E-2</v>
      </c>
      <c r="D47" s="4">
        <f t="shared" si="88"/>
        <v>2.5661914460285207E-2</v>
      </c>
      <c r="E47" s="4">
        <f t="shared" si="88"/>
        <v>0.12245168122848815</v>
      </c>
      <c r="F47" s="4">
        <f t="shared" si="88"/>
        <v>-7.7485552541573299E-2</v>
      </c>
      <c r="G47" s="4">
        <f t="shared" si="88"/>
        <v>5.014346998494279E-2</v>
      </c>
      <c r="H47" s="4">
        <f t="shared" si="88"/>
        <v>3.4925873823179243E-2</v>
      </c>
      <c r="I47" s="4">
        <f t="shared" si="88"/>
        <v>9.9124297477453993E-2</v>
      </c>
      <c r="J47" s="4">
        <f t="shared" si="88"/>
        <v>-7.357457131305456E-2</v>
      </c>
      <c r="K47" s="4">
        <f t="shared" si="88"/>
        <v>6.2015674622581507E-2</v>
      </c>
      <c r="L47" s="4">
        <f t="shared" si="88"/>
        <v>6.3015078053849427E-2</v>
      </c>
      <c r="M47" s="4">
        <f t="shared" si="88"/>
        <v>6.4054389239795784E-2</v>
      </c>
      <c r="N47" s="4"/>
      <c r="O47" s="4"/>
      <c r="P47" s="4">
        <f t="shared" ref="P47:Y47" si="89">P19/O19-1</f>
        <v>0.12770532012826141</v>
      </c>
      <c r="Q47" s="4">
        <f t="shared" si="89"/>
        <v>0.41150076427049154</v>
      </c>
      <c r="R47" s="4">
        <f t="shared" si="89"/>
        <v>-1.5948796174462543E-2</v>
      </c>
      <c r="S47" s="4">
        <f t="shared" si="89"/>
        <v>7.5001577735003711E-2</v>
      </c>
      <c r="T47" s="4">
        <f t="shared" si="89"/>
        <v>0.11883262457667221</v>
      </c>
      <c r="U47" s="4">
        <f t="shared" si="89"/>
        <v>0.12216850224681064</v>
      </c>
      <c r="V47" s="4">
        <f t="shared" si="89"/>
        <v>0.10388001480843156</v>
      </c>
      <c r="W47" s="4">
        <f t="shared" si="89"/>
        <v>0.10466896434707929</v>
      </c>
      <c r="X47" s="4">
        <f t="shared" si="89"/>
        <v>0.10539802685306121</v>
      </c>
      <c r="Y47" s="4">
        <f t="shared" si="89"/>
        <v>0.10607098023462114</v>
      </c>
      <c r="AB47" s="7"/>
    </row>
    <row r="48" spans="1:219" x14ac:dyDescent="0.2">
      <c r="A48" s="1" t="s">
        <v>38</v>
      </c>
      <c r="C48" s="4">
        <f t="shared" ref="C48:M48" si="90">C20/B20-1</f>
        <v>7.7408103031929132E-2</v>
      </c>
      <c r="D48" s="4">
        <f t="shared" si="90"/>
        <v>4.731664798904256E-2</v>
      </c>
      <c r="E48" s="4">
        <f t="shared" si="90"/>
        <v>9.2854595172987775E-2</v>
      </c>
      <c r="F48" s="4">
        <f t="shared" si="90"/>
        <v>4.155787641427322E-2</v>
      </c>
      <c r="G48" s="4">
        <f t="shared" si="90"/>
        <v>8.0739502820137865E-2</v>
      </c>
      <c r="H48" s="4">
        <f t="shared" si="90"/>
        <v>9.7226249154344302E-2</v>
      </c>
      <c r="I48" s="4">
        <f t="shared" si="90"/>
        <v>5.3025631991544087E-2</v>
      </c>
      <c r="J48" s="4">
        <f t="shared" si="90"/>
        <v>0.12000000000000011</v>
      </c>
      <c r="K48" s="4">
        <f t="shared" si="90"/>
        <v>0.12000000000000011</v>
      </c>
      <c r="L48" s="4">
        <f t="shared" si="90"/>
        <v>0.12000000000000011</v>
      </c>
      <c r="M48" s="4">
        <f t="shared" si="90"/>
        <v>0.12000000000000011</v>
      </c>
      <c r="N48" s="4"/>
      <c r="O48" s="4"/>
      <c r="P48" s="4"/>
      <c r="Q48" s="4"/>
      <c r="R48" s="4"/>
      <c r="S48" s="4">
        <f t="shared" ref="S48:Y48" si="91">S20/R20-1</f>
        <v>0.25905631659056327</v>
      </c>
      <c r="T48" s="4">
        <f t="shared" si="91"/>
        <v>0.30648573500967125</v>
      </c>
      <c r="U48" s="4">
        <f t="shared" si="91"/>
        <v>0.48033242010687305</v>
      </c>
      <c r="V48" s="4">
        <f t="shared" si="91"/>
        <v>0.19999999999999996</v>
      </c>
      <c r="W48" s="4">
        <f t="shared" si="91"/>
        <v>0.19999999999999996</v>
      </c>
      <c r="X48" s="4">
        <f t="shared" si="91"/>
        <v>0.19999999999999996</v>
      </c>
      <c r="Y48" s="4">
        <f t="shared" si="91"/>
        <v>0.19999999999999996</v>
      </c>
      <c r="AB48" s="7"/>
    </row>
    <row r="49" spans="1:25" x14ac:dyDescent="0.2">
      <c r="A49" s="1" t="s">
        <v>53</v>
      </c>
      <c r="B49" s="4">
        <f t="shared" ref="B49:M49" si="92">B20/B22</f>
        <v>0.10681072406035508</v>
      </c>
      <c r="C49" s="4">
        <f t="shared" si="92"/>
        <v>0.10764838346469358</v>
      </c>
      <c r="D49" s="4">
        <f t="shared" si="92"/>
        <v>0.10967102603888229</v>
      </c>
      <c r="E49" s="4">
        <f t="shared" si="92"/>
        <v>0.10649982620785541</v>
      </c>
      <c r="F49" s="4">
        <f t="shared" si="92"/>
        <v>0.11887408584660848</v>
      </c>
      <c r="G49" s="4">
        <f t="shared" si="92"/>
        <v>0.1221000212409431</v>
      </c>
      <c r="H49" s="4">
        <f t="shared" si="92"/>
        <v>0.12861965831331854</v>
      </c>
      <c r="I49" s="4">
        <f t="shared" si="92"/>
        <v>0.12392582072997543</v>
      </c>
      <c r="J49" s="4">
        <f t="shared" si="92"/>
        <v>0.14603593834765272</v>
      </c>
      <c r="K49" s="4">
        <f t="shared" si="92"/>
        <v>0.1528165624319674</v>
      </c>
      <c r="L49" s="4">
        <f t="shared" si="92"/>
        <v>0.15972634101995625</v>
      </c>
      <c r="M49" s="4">
        <f t="shared" si="92"/>
        <v>0.16675069561299613</v>
      </c>
      <c r="O49" s="4">
        <f t="shared" ref="O49:Y49" si="93">O20/O22</f>
        <v>0</v>
      </c>
      <c r="P49" s="4">
        <f t="shared" si="93"/>
        <v>0</v>
      </c>
      <c r="Q49" s="4">
        <f t="shared" si="93"/>
        <v>0</v>
      </c>
      <c r="R49" s="4">
        <f t="shared" si="93"/>
        <v>9.2916036148156522E-2</v>
      </c>
      <c r="S49" s="4">
        <f t="shared" si="93"/>
        <v>0.10764035732642797</v>
      </c>
      <c r="T49" s="4">
        <f t="shared" si="93"/>
        <v>0.12350507688176036</v>
      </c>
      <c r="U49" s="4">
        <f t="shared" si="93"/>
        <v>0.15692859789168051</v>
      </c>
      <c r="V49" s="4">
        <f t="shared" si="93"/>
        <v>0.16832545488683004</v>
      </c>
      <c r="W49" s="4">
        <f t="shared" si="93"/>
        <v>0.18026612692452421</v>
      </c>
      <c r="X49" s="4">
        <f t="shared" si="93"/>
        <v>0.19275346592565937</v>
      </c>
      <c r="Y49" s="4">
        <f t="shared" si="93"/>
        <v>0.20578772161943079</v>
      </c>
    </row>
    <row r="50" spans="1:25" x14ac:dyDescent="0.2">
      <c r="S50" s="4"/>
      <c r="T50" s="4"/>
      <c r="U50" s="4"/>
      <c r="V50" s="4"/>
    </row>
    <row r="51" spans="1:25" x14ac:dyDescent="0.2">
      <c r="A51" s="1" t="s">
        <v>84</v>
      </c>
      <c r="E51" s="1">
        <v>41995</v>
      </c>
      <c r="I51" s="1">
        <v>47375</v>
      </c>
      <c r="J51" s="4"/>
      <c r="R51" s="1">
        <v>134814</v>
      </c>
      <c r="S51" s="1">
        <v>146286</v>
      </c>
      <c r="T51" s="1">
        <v>170447</v>
      </c>
      <c r="U51" s="1">
        <f>T51*(1+U38)</f>
        <v>198578.0895239276</v>
      </c>
      <c r="V51" s="1">
        <f t="shared" ref="V51:Y51" si="94">U51*(1+V38)</f>
        <v>222159.49107839967</v>
      </c>
      <c r="W51" s="1">
        <f t="shared" si="94"/>
        <v>248932.60668226553</v>
      </c>
      <c r="X51" s="1">
        <f t="shared" si="94"/>
        <v>279366.91040862445</v>
      </c>
      <c r="Y51" s="1">
        <f t="shared" si="94"/>
        <v>314006.72395288927</v>
      </c>
    </row>
    <row r="52" spans="1:25" x14ac:dyDescent="0.2">
      <c r="A52" s="1" t="s">
        <v>85</v>
      </c>
      <c r="E52" s="1">
        <v>25010</v>
      </c>
      <c r="I52" s="1">
        <v>28184</v>
      </c>
      <c r="J52" s="4"/>
      <c r="R52" s="1">
        <v>82062</v>
      </c>
      <c r="S52" s="1">
        <v>91038</v>
      </c>
      <c r="T52" s="1">
        <v>102127</v>
      </c>
      <c r="U52" s="1">
        <f>T52*(1+U38)</f>
        <v>118982.34963836356</v>
      </c>
      <c r="V52" s="1">
        <f t="shared" ref="V52:Y52" si="95">U52*(1+V38)</f>
        <v>133111.65550208409</v>
      </c>
      <c r="W52" s="1">
        <f t="shared" si="95"/>
        <v>149153.34574759155</v>
      </c>
      <c r="X52" s="1">
        <f t="shared" si="95"/>
        <v>167388.71590172659</v>
      </c>
      <c r="Y52" s="1">
        <f t="shared" si="95"/>
        <v>188143.90806019894</v>
      </c>
    </row>
    <row r="53" spans="1:25" x14ac:dyDescent="0.2">
      <c r="A53" s="1" t="s">
        <v>86</v>
      </c>
      <c r="E53" s="1">
        <v>13979</v>
      </c>
      <c r="I53" s="1">
        <v>15156</v>
      </c>
      <c r="J53" s="4"/>
      <c r="R53" s="1">
        <v>47024</v>
      </c>
      <c r="S53" s="1">
        <v>51514</v>
      </c>
      <c r="T53" s="1">
        <v>56815</v>
      </c>
      <c r="U53" s="1">
        <f>T53*(1+U38)</f>
        <v>66191.919812621796</v>
      </c>
      <c r="V53" s="1">
        <f t="shared" ref="V53:Y53" si="96">U53*(1+V38)</f>
        <v>74052.29476388132</v>
      </c>
      <c r="W53" s="1">
        <f t="shared" si="96"/>
        <v>82976.561914571212</v>
      </c>
      <c r="X53" s="1">
        <f t="shared" si="96"/>
        <v>93121.210786144671</v>
      </c>
      <c r="Y53" s="1">
        <f t="shared" si="96"/>
        <v>104667.67981474246</v>
      </c>
    </row>
    <row r="54" spans="1:25" x14ac:dyDescent="0.2">
      <c r="A54" s="1" t="s">
        <v>87</v>
      </c>
      <c r="E54" s="1">
        <v>5176</v>
      </c>
      <c r="I54" s="1">
        <v>5734</v>
      </c>
      <c r="J54" s="4"/>
      <c r="K54" s="4"/>
      <c r="R54" s="1">
        <v>16976</v>
      </c>
      <c r="S54" s="1">
        <v>18320</v>
      </c>
      <c r="T54" s="1">
        <v>20418</v>
      </c>
      <c r="U54" s="1">
        <f>T54*(1+U38)</f>
        <v>23787.848609242483</v>
      </c>
      <c r="V54" s="1">
        <f t="shared" ref="V54:Y54" si="97">U54*(1+V38)</f>
        <v>26612.685989420548</v>
      </c>
      <c r="W54" s="1">
        <f t="shared" si="97"/>
        <v>29819.86167687608</v>
      </c>
      <c r="X54" s="1">
        <f t="shared" si="97"/>
        <v>33465.614394640521</v>
      </c>
      <c r="Y54" s="1">
        <f t="shared" si="97"/>
        <v>37615.148929990508</v>
      </c>
    </row>
    <row r="56" spans="1:25" x14ac:dyDescent="0.2">
      <c r="A56" s="1" t="s">
        <v>54</v>
      </c>
      <c r="B56" s="1">
        <f t="shared" ref="B56:M56" si="98">B58-B73</f>
        <v>0</v>
      </c>
      <c r="C56" s="1">
        <f t="shared" si="98"/>
        <v>0</v>
      </c>
      <c r="D56" s="1">
        <f t="shared" si="98"/>
        <v>0</v>
      </c>
      <c r="E56" s="1">
        <f t="shared" si="98"/>
        <v>0</v>
      </c>
      <c r="F56" s="1">
        <f t="shared" si="98"/>
        <v>0</v>
      </c>
      <c r="G56" s="1">
        <f t="shared" si="98"/>
        <v>0</v>
      </c>
      <c r="H56" s="1">
        <f t="shared" si="98"/>
        <v>0</v>
      </c>
      <c r="I56" s="1">
        <f t="shared" si="98"/>
        <v>84774</v>
      </c>
      <c r="J56" s="1">
        <f t="shared" si="98"/>
        <v>72414.663437106472</v>
      </c>
      <c r="K56" s="1">
        <f t="shared" si="98"/>
        <v>115013.84130789702</v>
      </c>
      <c r="L56" s="1">
        <f t="shared" si="98"/>
        <v>142444.60657126163</v>
      </c>
      <c r="M56" s="1">
        <f t="shared" si="98"/>
        <v>171872.88356214596</v>
      </c>
      <c r="O56" s="1">
        <f t="shared" ref="O56:T56" si="99">O58-O73</f>
        <v>0</v>
      </c>
      <c r="P56" s="1">
        <f t="shared" si="99"/>
        <v>0</v>
      </c>
      <c r="Q56" s="1">
        <f t="shared" si="99"/>
        <v>0</v>
      </c>
      <c r="R56" s="1">
        <f t="shared" si="99"/>
        <v>0</v>
      </c>
      <c r="S56" s="1">
        <f t="shared" si="99"/>
        <v>99046</v>
      </c>
      <c r="T56" s="1">
        <f t="shared" si="99"/>
        <v>84774</v>
      </c>
      <c r="U56" s="1">
        <f>T56+U34</f>
        <v>199846.86530798953</v>
      </c>
      <c r="V56" s="1">
        <f>U56+V34</f>
        <v>339231.71328766516</v>
      </c>
      <c r="W56" s="1">
        <f>V56+W34</f>
        <v>505043.10742312914</v>
      </c>
      <c r="X56" s="1">
        <f>W56+X34</f>
        <v>701524.78429085109</v>
      </c>
      <c r="Y56" s="1">
        <f>X56+Y34</f>
        <v>933592.43708610605</v>
      </c>
    </row>
    <row r="58" spans="1:25" x14ac:dyDescent="0.2">
      <c r="A58" s="1" t="s">
        <v>4</v>
      </c>
      <c r="I58" s="1">
        <f>23466+72191</f>
        <v>95657</v>
      </c>
      <c r="J58" s="1">
        <f>I58+J34+J100</f>
        <v>89414.663437106472</v>
      </c>
      <c r="K58" s="1">
        <f t="shared" ref="K58:M58" si="100">J58+K34+K100</f>
        <v>115013.84130789702</v>
      </c>
      <c r="L58" s="1">
        <f t="shared" si="100"/>
        <v>142444.60657126163</v>
      </c>
      <c r="M58" s="1">
        <f t="shared" si="100"/>
        <v>171872.88356214596</v>
      </c>
      <c r="S58" s="1">
        <f>24048+86868</f>
        <v>110916</v>
      </c>
      <c r="T58" s="1">
        <f>23466+72191</f>
        <v>95657</v>
      </c>
      <c r="U58" s="1">
        <f>T58+U34+U100</f>
        <v>207315.1241838006</v>
      </c>
      <c r="V58" s="1">
        <f t="shared" ref="V58" si="101">U58+V34+V100</f>
        <v>342879.72617292911</v>
      </c>
      <c r="W58" s="1">
        <f t="shared" ref="W58" si="102">V58+W34+W100</f>
        <v>504410.48486050765</v>
      </c>
      <c r="X58" s="1">
        <f t="shared" ref="X58:Y58" si="103">W58+X34+X100</f>
        <v>696088.17917407688</v>
      </c>
      <c r="Y58" s="1">
        <f t="shared" si="103"/>
        <v>922756.18452522345</v>
      </c>
    </row>
    <row r="59" spans="1:25" x14ac:dyDescent="0.2">
      <c r="A59" s="1" t="s">
        <v>46</v>
      </c>
      <c r="I59" s="1">
        <v>52340</v>
      </c>
      <c r="J59" s="1">
        <f>J80*J22/90</f>
        <v>55012.212</v>
      </c>
      <c r="K59" s="1">
        <f t="shared" ref="K59:M59" si="104">K80*K22/90</f>
        <v>58879.816800000001</v>
      </c>
      <c r="L59" s="1">
        <f t="shared" si="104"/>
        <v>63092.589986400009</v>
      </c>
      <c r="M59" s="1">
        <f t="shared" si="104"/>
        <v>67687.000211832026</v>
      </c>
      <c r="S59" s="1">
        <v>47964</v>
      </c>
      <c r="T59" s="1">
        <v>52340</v>
      </c>
      <c r="U59" s="1">
        <f>U80*U22/360</f>
        <v>61167.904749558009</v>
      </c>
      <c r="V59" s="1">
        <f t="shared" ref="V59:Y59" si="105">V80*V22/360</f>
        <v>68431.671500477532</v>
      </c>
      <c r="W59" s="1">
        <f t="shared" si="105"/>
        <v>76678.580255780282</v>
      </c>
      <c r="X59" s="1">
        <f t="shared" si="105"/>
        <v>86053.242867934823</v>
      </c>
      <c r="Y59" s="1">
        <f t="shared" si="105"/>
        <v>96723.326463248741</v>
      </c>
    </row>
    <row r="60" spans="1:25" x14ac:dyDescent="0.2">
      <c r="A60" s="1" t="s">
        <v>63</v>
      </c>
      <c r="I60" s="1">
        <v>37982</v>
      </c>
      <c r="S60" s="1">
        <v>31008</v>
      </c>
      <c r="T60" s="1">
        <v>37982</v>
      </c>
      <c r="U60" s="1">
        <f>T60*(1+U38)</f>
        <v>44250.664407691649</v>
      </c>
      <c r="V60" s="1">
        <f t="shared" ref="V60:Y60" si="106">U60*(1+V38)</f>
        <v>49505.487278390217</v>
      </c>
      <c r="W60" s="1">
        <f t="shared" si="106"/>
        <v>55471.544040116933</v>
      </c>
      <c r="X60" s="1">
        <f t="shared" si="106"/>
        <v>62253.451167461877</v>
      </c>
      <c r="Y60" s="1">
        <f t="shared" si="106"/>
        <v>69972.503999358407</v>
      </c>
    </row>
    <row r="61" spans="1:25" x14ac:dyDescent="0.2">
      <c r="A61" s="1" t="s">
        <v>90</v>
      </c>
      <c r="I61" s="1">
        <v>17180</v>
      </c>
      <c r="S61" s="1">
        <v>12169</v>
      </c>
      <c r="T61" s="1">
        <v>17180</v>
      </c>
      <c r="U61" s="1">
        <f>T61*(1+U38)</f>
        <v>20015.439274502198</v>
      </c>
      <c r="V61" s="1">
        <f t="shared" ref="V61:Y61" si="107">U61*(1+V38)</f>
        <v>22392.298231866247</v>
      </c>
      <c r="W61" s="1">
        <f t="shared" si="107"/>
        <v>25090.862161266094</v>
      </c>
      <c r="X61" s="1">
        <f t="shared" si="107"/>
        <v>28158.451136248616</v>
      </c>
      <c r="Y61" s="1">
        <f t="shared" si="107"/>
        <v>31649.929406270792</v>
      </c>
    </row>
    <row r="62" spans="1:25" x14ac:dyDescent="0.2">
      <c r="A62" s="1" t="s">
        <v>50</v>
      </c>
      <c r="I62" s="1">
        <v>171036</v>
      </c>
      <c r="S62" s="1">
        <v>134345</v>
      </c>
      <c r="T62" s="1">
        <v>171036</v>
      </c>
      <c r="U62" s="1">
        <f>T62*(1+U38)</f>
        <v>199264.29986925249</v>
      </c>
      <c r="V62" s="1">
        <f t="shared" ref="V62:Y62" si="108">U62*(1+V38)</f>
        <v>222927.18977796714</v>
      </c>
      <c r="W62" s="1">
        <f t="shared" si="108"/>
        <v>249792.82308581533</v>
      </c>
      <c r="X62" s="1">
        <f t="shared" si="108"/>
        <v>280332.29618972167</v>
      </c>
      <c r="Y62" s="1">
        <f t="shared" si="108"/>
        <v>315091.81175383768</v>
      </c>
    </row>
    <row r="63" spans="1:25" x14ac:dyDescent="0.2">
      <c r="A63" s="1" t="s">
        <v>65</v>
      </c>
      <c r="I63" s="1">
        <v>13588</v>
      </c>
      <c r="S63" s="1">
        <v>14091</v>
      </c>
      <c r="T63" s="1">
        <v>13588</v>
      </c>
      <c r="U63" s="1">
        <f>T63*(1+U38)</f>
        <v>15830.604706748303</v>
      </c>
      <c r="V63" s="1">
        <f t="shared" ref="V63:Y63" si="109">U63*(1+V38)</f>
        <v>17710.509218544736</v>
      </c>
      <c r="W63" s="1">
        <f t="shared" si="109"/>
        <v>19844.856521960632</v>
      </c>
      <c r="X63" s="1">
        <f t="shared" si="109"/>
        <v>22271.072994141221</v>
      </c>
      <c r="Y63" s="1">
        <f t="shared" si="109"/>
        <v>25032.551849383439</v>
      </c>
    </row>
    <row r="64" spans="1:25" x14ac:dyDescent="0.2">
      <c r="A64" s="1" t="s">
        <v>66</v>
      </c>
      <c r="I64" s="1">
        <v>31885</v>
      </c>
      <c r="S64" s="1">
        <v>29198</v>
      </c>
      <c r="T64" s="1">
        <v>31885</v>
      </c>
      <c r="U64" s="1">
        <f>T64*(1+U38)</f>
        <v>37147.39704700248</v>
      </c>
      <c r="V64" s="1">
        <f t="shared" ref="V64:Y64" si="110">U64*(1+V38)</f>
        <v>41558.697853495658</v>
      </c>
      <c r="W64" s="1">
        <f t="shared" si="110"/>
        <v>46567.062864491818</v>
      </c>
      <c r="X64" s="1">
        <f t="shared" si="110"/>
        <v>52260.315161774575</v>
      </c>
      <c r="Y64" s="1">
        <f t="shared" si="110"/>
        <v>58740.279343361137</v>
      </c>
    </row>
    <row r="65" spans="1:25" x14ac:dyDescent="0.2">
      <c r="A65" s="1" t="s">
        <v>14</v>
      </c>
      <c r="I65" s="1">
        <f>15714+14874</f>
        <v>30588</v>
      </c>
      <c r="S65" s="1">
        <f>12650+10051</f>
        <v>22701</v>
      </c>
      <c r="T65" s="1">
        <f>15714+14874</f>
        <v>30588</v>
      </c>
      <c r="U65" s="1">
        <f>T65*(1+U38)</f>
        <v>35636.336235650364</v>
      </c>
      <c r="V65" s="1">
        <f t="shared" ref="V65:Y65" si="111">U65*(1+V38)</f>
        <v>39868.196642393763</v>
      </c>
      <c r="W65" s="1">
        <f t="shared" si="111"/>
        <v>44672.834213551068</v>
      </c>
      <c r="X65" s="1">
        <f t="shared" si="111"/>
        <v>50134.499613246378</v>
      </c>
      <c r="Y65" s="1">
        <f t="shared" si="111"/>
        <v>56350.875476077483</v>
      </c>
    </row>
    <row r="66" spans="1:25" x14ac:dyDescent="0.2">
      <c r="A66" s="1" t="s">
        <v>59</v>
      </c>
      <c r="I66" s="1">
        <f>SUM(I58:I65)</f>
        <v>450256</v>
      </c>
      <c r="S66" s="1">
        <f>SUM(S58:S65)</f>
        <v>402392</v>
      </c>
      <c r="T66" s="1">
        <f>SUM(T58:T65)</f>
        <v>450256</v>
      </c>
      <c r="U66" s="1">
        <f t="shared" ref="U66:Y66" si="112">SUM(U58:U65)</f>
        <v>620627.77047420596</v>
      </c>
      <c r="V66" s="1">
        <f t="shared" si="112"/>
        <v>805273.77667606436</v>
      </c>
      <c r="W66" s="1">
        <f t="shared" si="112"/>
        <v>1022529.0480034897</v>
      </c>
      <c r="X66" s="1">
        <f t="shared" si="112"/>
        <v>1277551.5083046062</v>
      </c>
      <c r="Y66" s="1">
        <f t="shared" si="112"/>
        <v>1576317.4628167609</v>
      </c>
    </row>
    <row r="68" spans="1:25" x14ac:dyDescent="0.2">
      <c r="A68" s="1" t="s">
        <v>47</v>
      </c>
      <c r="I68" s="1">
        <v>7987</v>
      </c>
      <c r="S68" s="1">
        <v>7493</v>
      </c>
      <c r="T68" s="1">
        <v>7987</v>
      </c>
      <c r="U68" s="1">
        <f>T68*(1+U38)</f>
        <v>9305.1986894906313</v>
      </c>
      <c r="V68" s="1">
        <f t="shared" ref="V68:Y68" si="113">U68*(1+V38)</f>
        <v>10410.20290907542</v>
      </c>
      <c r="W68" s="1">
        <f t="shared" si="113"/>
        <v>11664.768107219574</v>
      </c>
      <c r="X68" s="1">
        <f t="shared" si="113"/>
        <v>13090.893435693695</v>
      </c>
      <c r="Y68" s="1">
        <f t="shared" si="113"/>
        <v>14714.085341553247</v>
      </c>
    </row>
    <row r="69" spans="1:25" x14ac:dyDescent="0.2">
      <c r="A69" s="1" t="s">
        <v>52</v>
      </c>
      <c r="I69" s="1">
        <v>15069</v>
      </c>
      <c r="S69" s="1">
        <v>15140</v>
      </c>
      <c r="T69" s="1">
        <v>15069</v>
      </c>
      <c r="U69" s="1">
        <f>T69*(1+U38)</f>
        <v>17556.033435825007</v>
      </c>
      <c r="V69" s="1">
        <f t="shared" ref="V69:Y69" si="114">U69*(1+V38)</f>
        <v>19640.834811175351</v>
      </c>
      <c r="W69" s="1">
        <f t="shared" si="114"/>
        <v>22007.811519680956</v>
      </c>
      <c r="X69" s="1">
        <f t="shared" si="114"/>
        <v>24698.469160193858</v>
      </c>
      <c r="Y69" s="1">
        <f t="shared" si="114"/>
        <v>27760.93051356779</v>
      </c>
    </row>
    <row r="70" spans="1:25" x14ac:dyDescent="0.2">
      <c r="A70" s="1" t="s">
        <v>67</v>
      </c>
      <c r="I70" s="1">
        <v>51228</v>
      </c>
      <c r="S70" s="1">
        <v>46168</v>
      </c>
      <c r="T70" s="1">
        <v>51228</v>
      </c>
      <c r="U70" s="1">
        <f>T70*(1+U38)</f>
        <v>59682.824397799683</v>
      </c>
      <c r="V70" s="1">
        <f t="shared" ref="V70:Y70" si="115">U70*(1+V38)</f>
        <v>66770.235961702216</v>
      </c>
      <c r="W70" s="1">
        <f t="shared" si="115"/>
        <v>74816.920069693791</v>
      </c>
      <c r="X70" s="1">
        <f t="shared" si="115"/>
        <v>83963.977579030499</v>
      </c>
      <c r="Y70" s="1">
        <f t="shared" si="115"/>
        <v>94375.004867545984</v>
      </c>
    </row>
    <row r="71" spans="1:25" x14ac:dyDescent="0.2">
      <c r="A71" s="1" t="s">
        <v>68</v>
      </c>
      <c r="I71" s="1">
        <v>9802</v>
      </c>
      <c r="S71" s="1">
        <v>8876</v>
      </c>
      <c r="T71" s="1">
        <v>9802</v>
      </c>
      <c r="U71" s="1">
        <f>T71*(1+U38)</f>
        <v>11419.751790958704</v>
      </c>
      <c r="V71" s="1">
        <f t="shared" ref="V71:Y71" si="116">U71*(1+V38)</f>
        <v>12775.861889915772</v>
      </c>
      <c r="W71" s="1">
        <f t="shared" si="116"/>
        <v>14315.519843115846</v>
      </c>
      <c r="X71" s="1">
        <f t="shared" si="116"/>
        <v>16065.72398355698</v>
      </c>
      <c r="Y71" s="1">
        <f t="shared" si="116"/>
        <v>18057.776952285582</v>
      </c>
    </row>
    <row r="72" spans="1:25" x14ac:dyDescent="0.2">
      <c r="A72" s="1" t="s">
        <v>69</v>
      </c>
      <c r="I72" s="1">
        <v>5036</v>
      </c>
      <c r="S72" s="1">
        <v>4137</v>
      </c>
      <c r="T72" s="1">
        <v>5036</v>
      </c>
      <c r="U72" s="1">
        <f>T72*(1+U38)</f>
        <v>5867.1567046794571</v>
      </c>
      <c r="V72" s="1">
        <f t="shared" ref="V72:Y72" si="117">U72*(1+V38)</f>
        <v>6563.8890509708053</v>
      </c>
      <c r="W72" s="1">
        <f t="shared" si="117"/>
        <v>7354.923273814672</v>
      </c>
      <c r="X72" s="1">
        <f t="shared" si="117"/>
        <v>8254.1303796360917</v>
      </c>
      <c r="Y72" s="1">
        <f t="shared" si="117"/>
        <v>9277.5928108253629</v>
      </c>
    </row>
    <row r="73" spans="1:25" x14ac:dyDescent="0.2">
      <c r="A73" s="1" t="s">
        <v>5</v>
      </c>
      <c r="I73" s="1">
        <v>10883</v>
      </c>
      <c r="J73" s="1">
        <v>17000</v>
      </c>
      <c r="S73" s="1">
        <v>11870</v>
      </c>
      <c r="T73" s="1">
        <v>10883</v>
      </c>
      <c r="U73" s="1">
        <f>T73*(1+U38)</f>
        <v>12679.163307590654</v>
      </c>
      <c r="V73" s="1">
        <f t="shared" ref="V73:Y73" si="118">U73*(1+V38)</f>
        <v>14184.830131396997</v>
      </c>
      <c r="W73" s="1">
        <f t="shared" si="118"/>
        <v>15894.287130445804</v>
      </c>
      <c r="X73" s="1">
        <f t="shared" si="118"/>
        <v>17837.51011151302</v>
      </c>
      <c r="Y73" s="1">
        <f t="shared" si="118"/>
        <v>20049.253884077127</v>
      </c>
    </row>
    <row r="74" spans="1:25" x14ac:dyDescent="0.2">
      <c r="A74" s="1" t="s">
        <v>71</v>
      </c>
      <c r="I74" s="1">
        <v>8782</v>
      </c>
      <c r="S74" s="1">
        <v>8474</v>
      </c>
      <c r="T74" s="1">
        <v>8782</v>
      </c>
      <c r="U74" s="1">
        <f>T74*(1+U38)</f>
        <v>10231.407899224581</v>
      </c>
      <c r="V74" s="1">
        <f t="shared" ref="V74:Y74" si="119">U74*(1+V38)</f>
        <v>11446.400644484831</v>
      </c>
      <c r="W74" s="1">
        <f t="shared" si="119"/>
        <v>12825.841181620421</v>
      </c>
      <c r="X74" s="1">
        <f t="shared" si="119"/>
        <v>14393.918386410671</v>
      </c>
      <c r="Y74" s="1">
        <f t="shared" si="119"/>
        <v>16178.677534683939</v>
      </c>
    </row>
    <row r="75" spans="1:25" x14ac:dyDescent="0.2">
      <c r="A75" s="1" t="s">
        <v>70</v>
      </c>
      <c r="I75" s="1">
        <f>11691+4694</f>
        <v>16385</v>
      </c>
      <c r="S75" s="1">
        <f>12460+4395</f>
        <v>16855</v>
      </c>
      <c r="T75" s="1">
        <f>11691+4694</f>
        <v>16385</v>
      </c>
      <c r="U75" s="1">
        <f>T75*(1+U38)</f>
        <v>19089.23006476825</v>
      </c>
      <c r="V75" s="1">
        <f t="shared" ref="V75:Y75" si="120">U75*(1+V38)</f>
        <v>21356.100496456838</v>
      </c>
      <c r="W75" s="1">
        <f t="shared" si="120"/>
        <v>23929.789086865247</v>
      </c>
      <c r="X75" s="1">
        <f t="shared" si="120"/>
        <v>26855.42618553164</v>
      </c>
      <c r="Y75" s="1">
        <f t="shared" si="120"/>
        <v>30185.337213140101</v>
      </c>
    </row>
    <row r="76" spans="1:25" x14ac:dyDescent="0.2">
      <c r="A76" s="1" t="s">
        <v>60</v>
      </c>
      <c r="I76" s="1">
        <f>SUM(I68:I75)</f>
        <v>125172</v>
      </c>
      <c r="S76" s="1">
        <f>SUM(S68:S75)</f>
        <v>119013</v>
      </c>
      <c r="T76" s="1">
        <f>SUM(T68:T75)</f>
        <v>125172</v>
      </c>
      <c r="U76" s="1">
        <f t="shared" ref="U76:Y76" si="121">SUM(U68:U75)</f>
        <v>145830.76629033696</v>
      </c>
      <c r="V76" s="1">
        <f t="shared" si="121"/>
        <v>163148.35589517825</v>
      </c>
      <c r="W76" s="1">
        <f t="shared" si="121"/>
        <v>182809.86021245632</v>
      </c>
      <c r="X76" s="1">
        <f t="shared" si="121"/>
        <v>205160.04922156644</v>
      </c>
      <c r="Y76" s="1">
        <f t="shared" si="121"/>
        <v>230598.65911767911</v>
      </c>
    </row>
    <row r="77" spans="1:25" x14ac:dyDescent="0.2">
      <c r="A77" s="1" t="s">
        <v>61</v>
      </c>
      <c r="I77" s="1">
        <f>I66-I76</f>
        <v>325084</v>
      </c>
      <c r="S77" s="1">
        <f>S66-S76</f>
        <v>283379</v>
      </c>
      <c r="T77" s="1">
        <f>T66-T76</f>
        <v>325084</v>
      </c>
      <c r="U77" s="1">
        <f t="shared" ref="U77:Y77" si="122">U66-U76</f>
        <v>474797.00418386899</v>
      </c>
      <c r="V77" s="1">
        <f t="shared" si="122"/>
        <v>642125.42078088608</v>
      </c>
      <c r="W77" s="1">
        <f t="shared" si="122"/>
        <v>839719.18779103342</v>
      </c>
      <c r="X77" s="1">
        <f t="shared" si="122"/>
        <v>1072391.4590830398</v>
      </c>
      <c r="Y77" s="1">
        <f t="shared" si="122"/>
        <v>1345718.8036990818</v>
      </c>
    </row>
    <row r="78" spans="1:25" x14ac:dyDescent="0.2">
      <c r="A78" s="1" t="s">
        <v>62</v>
      </c>
      <c r="I78" s="1">
        <f>I76+I77</f>
        <v>450256</v>
      </c>
      <c r="S78" s="1">
        <f>S76+S77</f>
        <v>402392</v>
      </c>
      <c r="T78" s="1">
        <f>T76+T77</f>
        <v>450256</v>
      </c>
      <c r="U78" s="1">
        <f t="shared" ref="U78:Y78" si="123">U76+U77</f>
        <v>620627.77047420596</v>
      </c>
      <c r="V78" s="1">
        <f t="shared" si="123"/>
        <v>805273.77667606436</v>
      </c>
      <c r="W78" s="1">
        <f t="shared" si="123"/>
        <v>1022529.0480034897</v>
      </c>
      <c r="X78" s="1">
        <f t="shared" si="123"/>
        <v>1277551.5083046062</v>
      </c>
      <c r="Y78" s="1">
        <f t="shared" si="123"/>
        <v>1576317.4628167609</v>
      </c>
    </row>
    <row r="80" spans="1:25" x14ac:dyDescent="0.2">
      <c r="A80" s="1" t="s">
        <v>56</v>
      </c>
      <c r="B80" s="1">
        <f t="shared" ref="B80:I80" si="124">(B59/B22)*90</f>
        <v>0</v>
      </c>
      <c r="C80" s="1">
        <f t="shared" si="124"/>
        <v>0</v>
      </c>
      <c r="D80" s="1">
        <f t="shared" si="124"/>
        <v>0</v>
      </c>
      <c r="E80" s="1">
        <f t="shared" si="124"/>
        <v>0</v>
      </c>
      <c r="F80" s="1">
        <f t="shared" si="124"/>
        <v>0</v>
      </c>
      <c r="G80" s="1">
        <f t="shared" si="124"/>
        <v>0</v>
      </c>
      <c r="H80" s="1">
        <f t="shared" si="124"/>
        <v>0</v>
      </c>
      <c r="I80" s="1">
        <f t="shared" si="124"/>
        <v>48.830194155635489</v>
      </c>
      <c r="J80" s="1">
        <v>54</v>
      </c>
      <c r="K80" s="1">
        <v>54</v>
      </c>
      <c r="L80" s="1">
        <v>54</v>
      </c>
      <c r="M80" s="1">
        <v>54</v>
      </c>
      <c r="Q80" s="1">
        <f t="shared" ref="Q80:T80" si="125">(Q59/Q22)*360</f>
        <v>0</v>
      </c>
      <c r="R80" s="1">
        <f t="shared" si="125"/>
        <v>0</v>
      </c>
      <c r="S80" s="1">
        <f t="shared" si="125"/>
        <v>56.172339082740713</v>
      </c>
      <c r="T80" s="1">
        <f t="shared" si="125"/>
        <v>53.832660034626791</v>
      </c>
      <c r="U80" s="1">
        <v>54</v>
      </c>
      <c r="V80" s="1">
        <v>54</v>
      </c>
      <c r="W80" s="1">
        <v>54</v>
      </c>
      <c r="X80" s="1">
        <v>54</v>
      </c>
      <c r="Y80" s="1">
        <v>54</v>
      </c>
    </row>
    <row r="82" spans="1:28" x14ac:dyDescent="0.2">
      <c r="A82" s="1" t="s">
        <v>57</v>
      </c>
      <c r="B82" s="1">
        <f t="shared" ref="B82:M82" si="126">+B34</f>
        <v>15051</v>
      </c>
      <c r="C82" s="1">
        <f t="shared" si="126"/>
        <v>18368</v>
      </c>
      <c r="D82" s="1">
        <f t="shared" si="126"/>
        <v>19689</v>
      </c>
      <c r="E82" s="1">
        <f t="shared" si="126"/>
        <v>20687</v>
      </c>
      <c r="F82" s="1">
        <f t="shared" si="126"/>
        <v>23662</v>
      </c>
      <c r="G82" s="1">
        <f t="shared" si="126"/>
        <v>23619</v>
      </c>
      <c r="H82" s="1">
        <f t="shared" si="126"/>
        <v>26301</v>
      </c>
      <c r="I82" s="1">
        <f t="shared" si="126"/>
        <v>26536</v>
      </c>
      <c r="J82" s="1">
        <f t="shared" si="126"/>
        <v>25757.663437106465</v>
      </c>
      <c r="K82" s="1">
        <f t="shared" si="126"/>
        <v>25599.177870790547</v>
      </c>
      <c r="L82" s="1">
        <f t="shared" si="126"/>
        <v>27430.765263364614</v>
      </c>
      <c r="M82" s="1">
        <f t="shared" si="126"/>
        <v>29428.276990884337</v>
      </c>
      <c r="R82" s="1">
        <f t="shared" ref="R82:Y82" si="127">+R34</f>
        <v>63486</v>
      </c>
      <c r="S82" s="1">
        <f t="shared" si="127"/>
        <v>73975</v>
      </c>
      <c r="T82" s="1">
        <f t="shared" si="127"/>
        <v>100122</v>
      </c>
      <c r="U82" s="1">
        <f t="shared" si="127"/>
        <v>115072.86530798952</v>
      </c>
      <c r="V82" s="1">
        <f t="shared" si="127"/>
        <v>139384.84797967563</v>
      </c>
      <c r="W82" s="1">
        <f t="shared" si="127"/>
        <v>165811.39413546395</v>
      </c>
      <c r="X82" s="1">
        <f t="shared" si="127"/>
        <v>196481.67686772195</v>
      </c>
      <c r="Y82" s="1">
        <f t="shared" si="127"/>
        <v>232067.65279525489</v>
      </c>
    </row>
    <row r="83" spans="1:28" x14ac:dyDescent="0.2">
      <c r="A83" s="1" t="s">
        <v>58</v>
      </c>
      <c r="C83" s="1">
        <v>18368</v>
      </c>
      <c r="G83" s="1">
        <v>23619</v>
      </c>
      <c r="I83" s="1">
        <v>26536</v>
      </c>
      <c r="J83" s="1">
        <f>J82</f>
        <v>25757.663437106465</v>
      </c>
      <c r="K83" s="1">
        <f t="shared" ref="K83:M83" si="128">K82</f>
        <v>25599.177870790547</v>
      </c>
      <c r="L83" s="1">
        <f t="shared" si="128"/>
        <v>27430.765263364614</v>
      </c>
      <c r="M83" s="1">
        <f t="shared" si="128"/>
        <v>29428.276990884337</v>
      </c>
      <c r="R83" s="1">
        <v>59972</v>
      </c>
      <c r="S83" s="1">
        <v>73795</v>
      </c>
      <c r="T83" s="1">
        <v>100118</v>
      </c>
      <c r="U83" s="1">
        <f>U82</f>
        <v>115072.86530798952</v>
      </c>
      <c r="V83" s="1">
        <f t="shared" ref="V83:Y83" si="129">V82</f>
        <v>139384.84797967563</v>
      </c>
      <c r="W83" s="1">
        <f t="shared" si="129"/>
        <v>165811.39413546395</v>
      </c>
      <c r="X83" s="1">
        <f t="shared" si="129"/>
        <v>196481.67686772195</v>
      </c>
      <c r="Y83" s="1">
        <f t="shared" si="129"/>
        <v>232067.65279525489</v>
      </c>
    </row>
    <row r="84" spans="1:28" x14ac:dyDescent="0.2">
      <c r="A84" s="1" t="s">
        <v>72</v>
      </c>
      <c r="I84" s="1">
        <v>4205</v>
      </c>
      <c r="R84" s="1">
        <v>13475</v>
      </c>
      <c r="S84" s="1">
        <v>11946</v>
      </c>
      <c r="T84" s="1">
        <v>15311</v>
      </c>
      <c r="U84" s="1">
        <f>T84*1.15</f>
        <v>17607.649999999998</v>
      </c>
      <c r="V84" s="1">
        <f t="shared" ref="V84:Y84" si="130">U84*1.15</f>
        <v>20248.797499999997</v>
      </c>
      <c r="W84" s="1">
        <f t="shared" si="130"/>
        <v>23286.117124999993</v>
      </c>
      <c r="X84" s="1">
        <f t="shared" si="130"/>
        <v>26779.034693749989</v>
      </c>
      <c r="Y84" s="1">
        <f t="shared" si="130"/>
        <v>30795.889897812485</v>
      </c>
    </row>
    <row r="85" spans="1:28" x14ac:dyDescent="0.2">
      <c r="A85" s="1" t="s">
        <v>73</v>
      </c>
      <c r="I85" s="1">
        <v>5810</v>
      </c>
      <c r="R85" s="1">
        <v>19362</v>
      </c>
      <c r="S85" s="1">
        <v>22460</v>
      </c>
      <c r="T85" s="1">
        <v>22785</v>
      </c>
      <c r="U85" s="1">
        <f>T85*1.05</f>
        <v>23924.25</v>
      </c>
      <c r="V85" s="1">
        <f t="shared" ref="V85:Y85" si="131">U85*1.05</f>
        <v>25120.462500000001</v>
      </c>
      <c r="W85" s="1">
        <f t="shared" si="131"/>
        <v>26376.485625000001</v>
      </c>
      <c r="X85" s="1">
        <f t="shared" si="131"/>
        <v>27695.309906250004</v>
      </c>
      <c r="Y85" s="1">
        <f t="shared" si="131"/>
        <v>29080.075401562506</v>
      </c>
    </row>
    <row r="86" spans="1:28" x14ac:dyDescent="0.2">
      <c r="A86" s="1" t="s">
        <v>64</v>
      </c>
      <c r="I86" s="1">
        <v>-1448</v>
      </c>
      <c r="R86" s="1">
        <v>-8081</v>
      </c>
      <c r="S86" s="1">
        <v>-7763</v>
      </c>
      <c r="T86" s="1">
        <v>-5257</v>
      </c>
      <c r="U86" s="1">
        <f>T86*(1+U38)</f>
        <v>-6124.6312145551838</v>
      </c>
      <c r="V86" s="1">
        <f t="shared" ref="V86:Y86" si="132">U86*(1+V38)</f>
        <v>-6851.9389874808421</v>
      </c>
      <c r="W86" s="1">
        <f t="shared" si="132"/>
        <v>-7677.6869838053462</v>
      </c>
      <c r="X86" s="1">
        <f t="shared" si="132"/>
        <v>-8616.3549256844562</v>
      </c>
      <c r="Y86" s="1">
        <f t="shared" si="132"/>
        <v>-9684.7310179723827</v>
      </c>
    </row>
    <row r="87" spans="1:28" x14ac:dyDescent="0.2">
      <c r="A87" s="1" t="s">
        <v>74</v>
      </c>
      <c r="I87" s="1">
        <v>67</v>
      </c>
      <c r="R87" s="1">
        <v>5519</v>
      </c>
      <c r="S87" s="1">
        <v>823</v>
      </c>
      <c r="T87" s="1">
        <v>-2671</v>
      </c>
      <c r="U87" s="1">
        <f>T87*(1+U38)</f>
        <v>-3111.8299360998471</v>
      </c>
      <c r="V87" s="1">
        <f t="shared" ref="V87:Y87" si="133">U87*(1+V38)</f>
        <v>-3481.363712300044</v>
      </c>
      <c r="W87" s="1">
        <f t="shared" si="133"/>
        <v>-3900.9134361316496</v>
      </c>
      <c r="X87" s="1">
        <f t="shared" si="133"/>
        <v>-4377.8360293899914</v>
      </c>
      <c r="Y87" s="1">
        <f t="shared" si="133"/>
        <v>-4920.6613180529266</v>
      </c>
    </row>
    <row r="88" spans="1:28" x14ac:dyDescent="0.2">
      <c r="A88" s="1" t="s">
        <v>14</v>
      </c>
      <c r="I88" s="1">
        <v>827</v>
      </c>
      <c r="R88" s="1">
        <v>3483</v>
      </c>
      <c r="S88" s="1">
        <v>4330</v>
      </c>
      <c r="T88" s="1">
        <v>3419</v>
      </c>
      <c r="U88" s="1">
        <f>T88*(1+U38)</f>
        <v>3983.2821233715376</v>
      </c>
      <c r="V88" s="1">
        <f t="shared" ref="V88:Y88" si="134">U88*(1+V38)</f>
        <v>4456.3019589494006</v>
      </c>
      <c r="W88" s="1">
        <f t="shared" si="134"/>
        <v>4993.3444545616285</v>
      </c>
      <c r="X88" s="1">
        <f t="shared" si="134"/>
        <v>5603.826800630618</v>
      </c>
      <c r="Y88" s="1">
        <f t="shared" si="134"/>
        <v>6298.6675576274638</v>
      </c>
    </row>
    <row r="89" spans="1:28" x14ac:dyDescent="0.2">
      <c r="A89" s="1" t="s">
        <v>46</v>
      </c>
      <c r="I89" s="1">
        <v>-4570</v>
      </c>
      <c r="R89" s="1">
        <v>-2317</v>
      </c>
      <c r="S89" s="1">
        <v>-7833</v>
      </c>
      <c r="T89" s="1">
        <v>-5891</v>
      </c>
      <c r="U89" s="1">
        <f>T89*(1+U38)</f>
        <v>-6863.2684962801195</v>
      </c>
      <c r="V89" s="1">
        <f t="shared" ref="V89:Y89" si="135">U89*(1+V38)</f>
        <v>-7678.2903890526241</v>
      </c>
      <c r="W89" s="1">
        <f t="shared" si="135"/>
        <v>-8603.6245047740722</v>
      </c>
      <c r="X89" s="1">
        <f t="shared" si="135"/>
        <v>-9655.4968360675557</v>
      </c>
      <c r="Y89" s="1">
        <f t="shared" si="135"/>
        <v>-10852.720263814974</v>
      </c>
    </row>
    <row r="90" spans="1:28" x14ac:dyDescent="0.2">
      <c r="A90" s="1" t="s">
        <v>15</v>
      </c>
      <c r="I90" s="1">
        <v>379</v>
      </c>
      <c r="R90" s="1">
        <v>584</v>
      </c>
      <c r="S90" s="1">
        <v>523</v>
      </c>
      <c r="T90" s="1">
        <v>-2418</v>
      </c>
      <c r="U90" s="1">
        <f>T90*(1+U38)</f>
        <v>-2817.0740492285399</v>
      </c>
      <c r="V90" s="1">
        <f t="shared" ref="V90:Y90" si="136">U90*(1+V38)</f>
        <v>-3151.6051876980555</v>
      </c>
      <c r="W90" s="1">
        <f t="shared" si="136"/>
        <v>-3531.4147093097449</v>
      </c>
      <c r="X90" s="1">
        <f t="shared" si="136"/>
        <v>-3963.1626802938972</v>
      </c>
      <c r="Y90" s="1">
        <f t="shared" si="136"/>
        <v>-4454.5709723144801</v>
      </c>
    </row>
    <row r="91" spans="1:28" x14ac:dyDescent="0.2">
      <c r="A91" s="1" t="s">
        <v>75</v>
      </c>
      <c r="I91" s="1">
        <v>937</v>
      </c>
      <c r="R91" s="1">
        <v>-5046</v>
      </c>
      <c r="S91" s="1">
        <v>-2143</v>
      </c>
      <c r="T91" s="1">
        <v>-1397</v>
      </c>
      <c r="U91" s="1">
        <f>T91*(1+U38)</f>
        <v>-1627.5651144633046</v>
      </c>
      <c r="V91" s="1">
        <f t="shared" ref="V91:Y91" si="137">U91*(1+V38)</f>
        <v>-1820.8405488892404</v>
      </c>
      <c r="W91" s="1">
        <f t="shared" si="137"/>
        <v>-2040.2755785383431</v>
      </c>
      <c r="X91" s="1">
        <f t="shared" si="137"/>
        <v>-2289.7180580523468</v>
      </c>
      <c r="Y91" s="1">
        <f t="shared" si="137"/>
        <v>-2573.6293003818569</v>
      </c>
    </row>
    <row r="92" spans="1:28" x14ac:dyDescent="0.2">
      <c r="A92" s="1" t="s">
        <v>47</v>
      </c>
      <c r="I92" s="1">
        <v>401</v>
      </c>
      <c r="R92" s="1">
        <v>707</v>
      </c>
      <c r="S92" s="1">
        <v>664</v>
      </c>
      <c r="T92" s="1">
        <v>-1161</v>
      </c>
      <c r="U92" s="1">
        <f>T92*(1+U38)</f>
        <v>-1352.6149591208994</v>
      </c>
      <c r="V92" s="1">
        <f t="shared" ref="V92:Y92" si="138">U92*(1+V38)</f>
        <v>-1513.2397117111009</v>
      </c>
      <c r="W92" s="1">
        <f t="shared" si="138"/>
        <v>-1695.6048294080288</v>
      </c>
      <c r="X92" s="1">
        <f t="shared" si="138"/>
        <v>-1902.9081355753576</v>
      </c>
      <c r="Y92" s="1">
        <f t="shared" si="138"/>
        <v>-2138.857278270104</v>
      </c>
    </row>
    <row r="93" spans="1:28" x14ac:dyDescent="0.2">
      <c r="A93" s="1" t="s">
        <v>76</v>
      </c>
      <c r="I93" s="1">
        <v>5205</v>
      </c>
      <c r="R93" s="1">
        <v>3915</v>
      </c>
      <c r="S93" s="1">
        <v>3937</v>
      </c>
      <c r="T93" s="1">
        <v>-1161</v>
      </c>
      <c r="U93" s="1">
        <f>T93*(1+U38)</f>
        <v>-1352.6149591208994</v>
      </c>
      <c r="V93" s="1">
        <f t="shared" ref="V93:Y93" si="139">U93*(1+V38)</f>
        <v>-1513.2397117111009</v>
      </c>
      <c r="W93" s="1">
        <f t="shared" si="139"/>
        <v>-1695.6048294080288</v>
      </c>
      <c r="X93" s="1">
        <f t="shared" si="139"/>
        <v>-1902.9081355753576</v>
      </c>
      <c r="Y93" s="1">
        <f t="shared" si="139"/>
        <v>-2138.857278270104</v>
      </c>
    </row>
    <row r="94" spans="1:28" x14ac:dyDescent="0.2">
      <c r="A94" s="1" t="s">
        <v>77</v>
      </c>
      <c r="I94" s="1">
        <v>581</v>
      </c>
      <c r="R94" s="1">
        <v>-445</v>
      </c>
      <c r="S94" s="1">
        <v>482</v>
      </c>
      <c r="T94" s="1">
        <v>1059</v>
      </c>
      <c r="U94" s="1">
        <f>T94*(1+U38)</f>
        <v>1233.780569947487</v>
      </c>
      <c r="V94" s="1">
        <f t="shared" ref="V94:Y94" si="140">U94*(1+V38)</f>
        <v>1380.2935871680068</v>
      </c>
      <c r="W94" s="1">
        <f t="shared" si="140"/>
        <v>1546.636963258486</v>
      </c>
      <c r="X94" s="1">
        <f t="shared" si="140"/>
        <v>1735.7275758607266</v>
      </c>
      <c r="Y94" s="1">
        <f t="shared" si="140"/>
        <v>1950.9473365099398</v>
      </c>
    </row>
    <row r="95" spans="1:28" x14ac:dyDescent="0.2">
      <c r="A95" s="1" t="s">
        <v>69</v>
      </c>
      <c r="I95" s="1">
        <v>183</v>
      </c>
      <c r="R95" s="1">
        <v>367</v>
      </c>
      <c r="S95" s="1">
        <v>525</v>
      </c>
      <c r="T95" s="1">
        <v>1043</v>
      </c>
      <c r="U95" s="1">
        <f>T95*(1+U38)</f>
        <v>1215.139881449697</v>
      </c>
      <c r="V95" s="1">
        <f t="shared" ref="V95:Y95" si="141">U95*(1+V38)</f>
        <v>1359.4392931220314</v>
      </c>
      <c r="W95" s="1">
        <f t="shared" si="141"/>
        <v>1523.2694548428717</v>
      </c>
      <c r="X95" s="1">
        <f t="shared" si="141"/>
        <v>1709.5031743368629</v>
      </c>
      <c r="Y95" s="1">
        <f t="shared" si="141"/>
        <v>1921.4712672142277</v>
      </c>
    </row>
    <row r="96" spans="1:28" ht="15" x14ac:dyDescent="0.25">
      <c r="A96" s="3" t="s">
        <v>20</v>
      </c>
      <c r="B96" s="3"/>
      <c r="C96" s="3">
        <v>28666</v>
      </c>
      <c r="D96" s="3"/>
      <c r="E96" s="3"/>
      <c r="F96" s="3"/>
      <c r="G96" s="3">
        <v>26640</v>
      </c>
      <c r="H96" s="3"/>
      <c r="I96" s="3">
        <f>SUM(I83:I95)</f>
        <v>39113</v>
      </c>
      <c r="J96" s="3"/>
      <c r="K96" s="3"/>
      <c r="L96" s="3"/>
      <c r="M96" s="3"/>
      <c r="N96" s="3"/>
      <c r="O96" s="3"/>
      <c r="P96" s="3"/>
      <c r="Q96" s="3"/>
      <c r="R96" s="3">
        <f>SUM(R83:R95)</f>
        <v>91495</v>
      </c>
      <c r="S96" s="3">
        <f t="shared" ref="S96:Y96" si="142">SUM(S83:S95)</f>
        <v>101746</v>
      </c>
      <c r="T96" s="3">
        <f t="shared" si="142"/>
        <v>123779</v>
      </c>
      <c r="U96" s="3">
        <f t="shared" si="142"/>
        <v>139787.36915388948</v>
      </c>
      <c r="V96" s="3">
        <f t="shared" si="142"/>
        <v>165939.62457007202</v>
      </c>
      <c r="W96" s="3">
        <f t="shared" si="142"/>
        <v>194392.12288675172</v>
      </c>
      <c r="X96" s="3">
        <f t="shared" si="142"/>
        <v>227296.69421791119</v>
      </c>
      <c r="Y96" s="3">
        <f t="shared" si="142"/>
        <v>265350.6768269047</v>
      </c>
      <c r="AA96" s="1" t="s">
        <v>55</v>
      </c>
      <c r="AB96" s="4">
        <v>0.06</v>
      </c>
    </row>
    <row r="97" spans="1:162" x14ac:dyDescent="0.2">
      <c r="A97" s="1" t="s">
        <v>78</v>
      </c>
      <c r="I97" s="1">
        <v>-14276</v>
      </c>
      <c r="R97" s="1">
        <v>-31485</v>
      </c>
      <c r="S97" s="1">
        <v>-32251</v>
      </c>
      <c r="T97" s="1">
        <v>-52535</v>
      </c>
      <c r="U97" s="1">
        <v>-75000</v>
      </c>
      <c r="V97" s="1">
        <f>U97*0.95</f>
        <v>-71250</v>
      </c>
      <c r="W97" s="1">
        <f t="shared" ref="W97:Y97" si="143">V97*0.95</f>
        <v>-67687.5</v>
      </c>
      <c r="X97" s="1">
        <f t="shared" si="143"/>
        <v>-64303.125</v>
      </c>
      <c r="Y97" s="1">
        <f t="shared" si="143"/>
        <v>-61087.96875</v>
      </c>
      <c r="AA97" s="1" t="s">
        <v>29</v>
      </c>
      <c r="AB97" s="4">
        <v>0.01</v>
      </c>
    </row>
    <row r="98" spans="1:162" x14ac:dyDescent="0.2">
      <c r="A98" s="1" t="s">
        <v>79</v>
      </c>
      <c r="I98" s="1">
        <f>-21645-1800</f>
        <v>-23445</v>
      </c>
      <c r="R98" s="1">
        <f>+-78874-2531</f>
        <v>-81405</v>
      </c>
      <c r="S98" s="1">
        <f>+-77858-3027</f>
        <v>-80885</v>
      </c>
      <c r="T98" s="1">
        <f>+-86679-5034</f>
        <v>-91713</v>
      </c>
      <c r="U98" s="1">
        <f>T98*(1+U38)</f>
        <v>-106849.59151236438</v>
      </c>
      <c r="V98" s="1">
        <f t="shared" ref="V98:Y98" si="144">U98*(1+V38)</f>
        <v>-119538.11686490974</v>
      </c>
      <c r="W98" s="1">
        <f t="shared" si="144"/>
        <v>-133944.01870757842</v>
      </c>
      <c r="X98" s="1">
        <f t="shared" si="144"/>
        <v>-150319.90855988179</v>
      </c>
      <c r="Y98" s="1">
        <f t="shared" si="144"/>
        <v>-168958.67145735232</v>
      </c>
      <c r="AA98" s="1" t="s">
        <v>30</v>
      </c>
      <c r="AB98" s="9">
        <v>0.08</v>
      </c>
    </row>
    <row r="99" spans="1:162" x14ac:dyDescent="0.2">
      <c r="A99" s="1" t="s">
        <v>80</v>
      </c>
      <c r="I99" s="1">
        <f>21649+150</f>
        <v>21799</v>
      </c>
      <c r="R99" s="1">
        <f>97822+150</f>
        <v>97972</v>
      </c>
      <c r="S99" s="1">
        <f>86672+947</f>
        <v>87619</v>
      </c>
      <c r="T99" s="1">
        <f>103428+882</f>
        <v>104310</v>
      </c>
      <c r="U99" s="1">
        <f>T99*(1+U38)</f>
        <v>121525.63857528081</v>
      </c>
      <c r="V99" s="1">
        <f t="shared" ref="V99:Y99" si="145">U99*(1+V38)</f>
        <v>135956.96324598187</v>
      </c>
      <c r="W99" s="1">
        <f t="shared" si="145"/>
        <v>152341.55017704694</v>
      </c>
      <c r="X99" s="1">
        <f t="shared" si="145"/>
        <v>170966.70768463874</v>
      </c>
      <c r="Y99" s="1">
        <f t="shared" si="145"/>
        <v>192165.54926473263</v>
      </c>
      <c r="AA99" s="1" t="s">
        <v>28</v>
      </c>
      <c r="AB99" s="1">
        <f>NPV(AB98,U103:FF103)+main!I5-main!I6</f>
        <v>2590969.6309432229</v>
      </c>
    </row>
    <row r="100" spans="1:162" x14ac:dyDescent="0.2">
      <c r="A100" s="1" t="s">
        <v>81</v>
      </c>
      <c r="I100" s="1">
        <v>-91</v>
      </c>
      <c r="J100" s="1">
        <v>-32000</v>
      </c>
      <c r="R100" s="1">
        <v>-6969</v>
      </c>
      <c r="S100" s="1">
        <v>-495</v>
      </c>
      <c r="T100" s="1">
        <v>-2931</v>
      </c>
      <c r="U100" s="1">
        <f>T100*(1+U38)</f>
        <v>-3414.7411241889372</v>
      </c>
      <c r="V100" s="1">
        <f t="shared" ref="V100:Y100" si="146">U100*(1+V38)</f>
        <v>-3820.2459905471464</v>
      </c>
      <c r="W100" s="1">
        <f t="shared" si="146"/>
        <v>-4280.6354478853855</v>
      </c>
      <c r="X100" s="1">
        <f t="shared" si="146"/>
        <v>-4803.9825541527762</v>
      </c>
      <c r="Y100" s="1">
        <f t="shared" si="146"/>
        <v>-5399.6474441082473</v>
      </c>
      <c r="AA100" s="1" t="s">
        <v>1</v>
      </c>
      <c r="AB100" s="1">
        <f>AB99/main!I3</f>
        <v>211.50772497495697</v>
      </c>
    </row>
    <row r="101" spans="1:162" x14ac:dyDescent="0.2">
      <c r="A101" s="1" t="s">
        <v>82</v>
      </c>
      <c r="I101" s="1">
        <v>-167</v>
      </c>
      <c r="R101" s="1">
        <v>1589</v>
      </c>
      <c r="S101" s="1">
        <v>-1051</v>
      </c>
      <c r="T101" s="1">
        <v>-2667</v>
      </c>
      <c r="U101" s="1">
        <f>T101*(1+U38)</f>
        <v>-3107.1697639753993</v>
      </c>
      <c r="V101" s="1">
        <f t="shared" ref="V101:Y101" si="147">U101*(1+V38)</f>
        <v>-3476.1501387885496</v>
      </c>
      <c r="W101" s="1">
        <f t="shared" si="147"/>
        <v>-3895.0715590277455</v>
      </c>
      <c r="X101" s="1">
        <f t="shared" si="147"/>
        <v>-4371.2799290090252</v>
      </c>
      <c r="Y101" s="1">
        <f t="shared" si="147"/>
        <v>-4913.2923007289983</v>
      </c>
      <c r="AA101" s="1" t="s">
        <v>31</v>
      </c>
      <c r="AB101" s="4">
        <f>AB100/main!I2-1</f>
        <v>0.35581874983946782</v>
      </c>
    </row>
    <row r="102" spans="1:162" x14ac:dyDescent="0.2">
      <c r="A102" s="1" t="s">
        <v>83</v>
      </c>
      <c r="C102" s="1">
        <v>10800</v>
      </c>
      <c r="G102" s="1">
        <v>13746</v>
      </c>
      <c r="I102" s="1">
        <f>I97</f>
        <v>-14276</v>
      </c>
      <c r="J102" s="1">
        <f>J97</f>
        <v>0</v>
      </c>
      <c r="R102" s="1">
        <f>R97</f>
        <v>-31485</v>
      </c>
      <c r="S102" s="1">
        <f t="shared" ref="S102:Y102" si="148">S97</f>
        <v>-32251</v>
      </c>
      <c r="T102" s="1">
        <f t="shared" si="148"/>
        <v>-52535</v>
      </c>
      <c r="U102" s="1">
        <f t="shared" si="148"/>
        <v>-75000</v>
      </c>
      <c r="V102" s="1">
        <f t="shared" si="148"/>
        <v>-71250</v>
      </c>
      <c r="W102" s="1">
        <f t="shared" si="148"/>
        <v>-67687.5</v>
      </c>
      <c r="X102" s="1">
        <f t="shared" si="148"/>
        <v>-64303.125</v>
      </c>
      <c r="Y102" s="1">
        <f t="shared" si="148"/>
        <v>-61087.96875</v>
      </c>
    </row>
    <row r="103" spans="1:162" ht="15" x14ac:dyDescent="0.25">
      <c r="A103" s="3" t="s">
        <v>21</v>
      </c>
      <c r="B103" s="3">
        <f>B96+B102</f>
        <v>0</v>
      </c>
      <c r="C103" s="3">
        <f t="shared" ref="C103:K103" si="149">C96+C102</f>
        <v>39466</v>
      </c>
      <c r="D103" s="3">
        <f t="shared" si="149"/>
        <v>0</v>
      </c>
      <c r="E103" s="3">
        <f t="shared" si="149"/>
        <v>0</v>
      </c>
      <c r="F103" s="3">
        <f t="shared" si="149"/>
        <v>0</v>
      </c>
      <c r="G103" s="3">
        <f t="shared" si="149"/>
        <v>40386</v>
      </c>
      <c r="H103" s="3">
        <f t="shared" si="149"/>
        <v>0</v>
      </c>
      <c r="I103" s="3">
        <f t="shared" si="149"/>
        <v>24837</v>
      </c>
      <c r="J103" s="3">
        <f t="shared" si="149"/>
        <v>0</v>
      </c>
      <c r="K103" s="3">
        <f t="shared" si="149"/>
        <v>0</v>
      </c>
      <c r="L103" s="3"/>
      <c r="M103" s="3"/>
      <c r="N103" s="3"/>
      <c r="O103" s="3"/>
      <c r="P103" s="3"/>
      <c r="Q103" s="3"/>
      <c r="R103" s="3">
        <f>R96+R102</f>
        <v>60010</v>
      </c>
      <c r="S103" s="3">
        <f>S96+S102</f>
        <v>69495</v>
      </c>
      <c r="T103" s="3">
        <f>T96+T102</f>
        <v>71244</v>
      </c>
      <c r="U103" s="3">
        <f>U96+U102</f>
        <v>64787.369153889478</v>
      </c>
      <c r="V103" s="3">
        <f t="shared" ref="V103:Y103" si="150">V96+V102</f>
        <v>94689.624570072017</v>
      </c>
      <c r="W103" s="3">
        <f t="shared" si="150"/>
        <v>126704.62288675172</v>
      </c>
      <c r="X103" s="3">
        <f t="shared" si="150"/>
        <v>162993.56921791119</v>
      </c>
      <c r="Y103" s="3">
        <f t="shared" si="150"/>
        <v>204262.7080769047</v>
      </c>
      <c r="Z103" s="3">
        <f t="shared" ref="Z103:BE103" si="151">Y103*(1+$AB$97)</f>
        <v>206305.33515767375</v>
      </c>
      <c r="AA103" s="3">
        <f t="shared" si="151"/>
        <v>208368.38850925048</v>
      </c>
      <c r="AB103" s="3">
        <f t="shared" si="151"/>
        <v>210452.07239434298</v>
      </c>
      <c r="AC103" s="3">
        <f t="shared" si="151"/>
        <v>212556.5931182864</v>
      </c>
      <c r="AD103" s="3">
        <f t="shared" si="151"/>
        <v>214682.15904946928</v>
      </c>
      <c r="AE103" s="3">
        <f t="shared" si="151"/>
        <v>216828.98063996396</v>
      </c>
      <c r="AF103" s="3">
        <f t="shared" si="151"/>
        <v>218997.2704463636</v>
      </c>
      <c r="AG103" s="3">
        <f t="shared" si="151"/>
        <v>221187.24315082724</v>
      </c>
      <c r="AH103" s="3">
        <f t="shared" si="151"/>
        <v>223399.11558233551</v>
      </c>
      <c r="AI103" s="3">
        <f t="shared" si="151"/>
        <v>225633.10673815885</v>
      </c>
      <c r="AJ103" s="3">
        <f t="shared" si="151"/>
        <v>227889.43780554045</v>
      </c>
      <c r="AK103" s="3">
        <f t="shared" si="151"/>
        <v>230168.33218359586</v>
      </c>
      <c r="AL103" s="3">
        <f t="shared" si="151"/>
        <v>232470.01550543183</v>
      </c>
      <c r="AM103" s="3">
        <f t="shared" si="151"/>
        <v>234794.71566048614</v>
      </c>
      <c r="AN103" s="3">
        <f t="shared" si="151"/>
        <v>237142.66281709101</v>
      </c>
      <c r="AO103" s="3">
        <f t="shared" si="151"/>
        <v>239514.08944526192</v>
      </c>
      <c r="AP103" s="3">
        <f t="shared" si="151"/>
        <v>241909.23033971456</v>
      </c>
      <c r="AQ103" s="3">
        <f t="shared" si="151"/>
        <v>244328.32264311169</v>
      </c>
      <c r="AR103" s="3">
        <f t="shared" si="151"/>
        <v>246771.60586954281</v>
      </c>
      <c r="AS103" s="3">
        <f t="shared" si="151"/>
        <v>249239.32192823823</v>
      </c>
      <c r="AT103" s="3">
        <f t="shared" si="151"/>
        <v>251731.71514752062</v>
      </c>
      <c r="AU103" s="3">
        <f t="shared" si="151"/>
        <v>254249.03229899582</v>
      </c>
      <c r="AV103" s="3">
        <f t="shared" si="151"/>
        <v>256791.52262198579</v>
      </c>
      <c r="AW103" s="3">
        <f t="shared" si="151"/>
        <v>259359.43784820565</v>
      </c>
      <c r="AX103" s="3">
        <f t="shared" si="151"/>
        <v>261953.0322266877</v>
      </c>
      <c r="AY103" s="3">
        <f t="shared" si="151"/>
        <v>264572.56254895456</v>
      </c>
      <c r="AZ103" s="3">
        <f t="shared" si="151"/>
        <v>267218.28817444411</v>
      </c>
      <c r="BA103" s="3">
        <f t="shared" si="151"/>
        <v>269890.47105618857</v>
      </c>
      <c r="BB103" s="3">
        <f t="shared" si="151"/>
        <v>272589.37576675048</v>
      </c>
      <c r="BC103" s="3">
        <f t="shared" si="151"/>
        <v>275315.26952441799</v>
      </c>
      <c r="BD103" s="3">
        <f t="shared" si="151"/>
        <v>278068.42221966217</v>
      </c>
      <c r="BE103" s="3">
        <f t="shared" si="151"/>
        <v>280849.10644185881</v>
      </c>
      <c r="BF103" s="3">
        <f t="shared" ref="BF103:CK103" si="152">BE103*(1+$AB$97)</f>
        <v>283657.59750627738</v>
      </c>
      <c r="BG103" s="3">
        <f t="shared" si="152"/>
        <v>286494.17348134017</v>
      </c>
      <c r="BH103" s="3">
        <f t="shared" si="152"/>
        <v>289359.11521615356</v>
      </c>
      <c r="BI103" s="3">
        <f t="shared" si="152"/>
        <v>292252.70636831509</v>
      </c>
      <c r="BJ103" s="3">
        <f t="shared" si="152"/>
        <v>295175.23343199823</v>
      </c>
      <c r="BK103" s="3">
        <f t="shared" si="152"/>
        <v>298126.98576631822</v>
      </c>
      <c r="BL103" s="3">
        <f t="shared" si="152"/>
        <v>301108.25562398141</v>
      </c>
      <c r="BM103" s="3">
        <f t="shared" si="152"/>
        <v>304119.33818022121</v>
      </c>
      <c r="BN103" s="3">
        <f t="shared" si="152"/>
        <v>307160.53156202345</v>
      </c>
      <c r="BO103" s="3">
        <f t="shared" si="152"/>
        <v>310232.1368776437</v>
      </c>
      <c r="BP103" s="3">
        <f t="shared" si="152"/>
        <v>313334.45824642014</v>
      </c>
      <c r="BQ103" s="3">
        <f t="shared" si="152"/>
        <v>316467.80282888433</v>
      </c>
      <c r="BR103" s="3">
        <f t="shared" si="152"/>
        <v>319632.48085717316</v>
      </c>
      <c r="BS103" s="3">
        <f t="shared" si="152"/>
        <v>322828.80566574488</v>
      </c>
      <c r="BT103" s="3">
        <f t="shared" si="152"/>
        <v>326057.09372240235</v>
      </c>
      <c r="BU103" s="3">
        <f t="shared" si="152"/>
        <v>329317.66465962637</v>
      </c>
      <c r="BV103" s="3">
        <f t="shared" si="152"/>
        <v>332610.84130622266</v>
      </c>
      <c r="BW103" s="3">
        <f t="shared" si="152"/>
        <v>335936.94971928489</v>
      </c>
      <c r="BX103" s="3">
        <f t="shared" si="152"/>
        <v>339296.31921647774</v>
      </c>
      <c r="BY103" s="3">
        <f t="shared" si="152"/>
        <v>342689.28240864252</v>
      </c>
      <c r="BZ103" s="3">
        <f t="shared" si="152"/>
        <v>346116.17523272894</v>
      </c>
      <c r="CA103" s="3">
        <f t="shared" si="152"/>
        <v>349577.33698505623</v>
      </c>
      <c r="CB103" s="3">
        <f t="shared" si="152"/>
        <v>353073.11035490682</v>
      </c>
      <c r="CC103" s="3">
        <f t="shared" si="152"/>
        <v>356603.84145845589</v>
      </c>
      <c r="CD103" s="3">
        <f t="shared" si="152"/>
        <v>360169.87987304048</v>
      </c>
      <c r="CE103" s="3">
        <f t="shared" si="152"/>
        <v>363771.57867177087</v>
      </c>
      <c r="CF103" s="3">
        <f t="shared" si="152"/>
        <v>367409.29445848858</v>
      </c>
      <c r="CG103" s="3">
        <f t="shared" si="152"/>
        <v>371083.38740307349</v>
      </c>
      <c r="CH103" s="3">
        <f t="shared" si="152"/>
        <v>374794.22127710423</v>
      </c>
      <c r="CI103" s="3">
        <f t="shared" si="152"/>
        <v>378542.16348987527</v>
      </c>
      <c r="CJ103" s="3">
        <f t="shared" si="152"/>
        <v>382327.58512477402</v>
      </c>
      <c r="CK103" s="3">
        <f t="shared" si="152"/>
        <v>386150.86097602174</v>
      </c>
      <c r="CL103" s="3">
        <f t="shared" ref="CL103:DQ103" si="153">CK103*(1+$AB$97)</f>
        <v>390012.36958578194</v>
      </c>
      <c r="CM103" s="3">
        <f t="shared" si="153"/>
        <v>393912.49328163976</v>
      </c>
      <c r="CN103" s="3">
        <f t="shared" si="153"/>
        <v>397851.61821445619</v>
      </c>
      <c r="CO103" s="3">
        <f t="shared" si="153"/>
        <v>401830.13439660077</v>
      </c>
      <c r="CP103" s="3">
        <f t="shared" si="153"/>
        <v>405848.43574056675</v>
      </c>
      <c r="CQ103" s="3">
        <f t="shared" si="153"/>
        <v>409906.92009797244</v>
      </c>
      <c r="CR103" s="3">
        <f t="shared" si="153"/>
        <v>414005.98929895216</v>
      </c>
      <c r="CS103" s="3">
        <f t="shared" si="153"/>
        <v>418146.04919194168</v>
      </c>
      <c r="CT103" s="3">
        <f t="shared" si="153"/>
        <v>422327.50968386111</v>
      </c>
      <c r="CU103" s="3">
        <f t="shared" si="153"/>
        <v>426550.7847806997</v>
      </c>
      <c r="CV103" s="3">
        <f t="shared" si="153"/>
        <v>430816.29262850672</v>
      </c>
      <c r="CW103" s="3">
        <f t="shared" si="153"/>
        <v>435124.45555479178</v>
      </c>
      <c r="CX103" s="3">
        <f t="shared" si="153"/>
        <v>439475.70011033973</v>
      </c>
      <c r="CY103" s="3">
        <f t="shared" si="153"/>
        <v>443870.45711144316</v>
      </c>
      <c r="CZ103" s="3">
        <f t="shared" si="153"/>
        <v>448309.16168255761</v>
      </c>
      <c r="DA103" s="3">
        <f t="shared" si="153"/>
        <v>452792.25329938321</v>
      </c>
      <c r="DB103" s="3">
        <f t="shared" si="153"/>
        <v>457320.17583237705</v>
      </c>
      <c r="DC103" s="3">
        <f t="shared" si="153"/>
        <v>461893.37759070081</v>
      </c>
      <c r="DD103" s="3">
        <f t="shared" si="153"/>
        <v>466512.31136660784</v>
      </c>
      <c r="DE103" s="3">
        <f t="shared" si="153"/>
        <v>471177.43448027392</v>
      </c>
      <c r="DF103" s="3">
        <f t="shared" si="153"/>
        <v>475889.20882507664</v>
      </c>
      <c r="DG103" s="3">
        <f t="shared" si="153"/>
        <v>480648.10091332742</v>
      </c>
      <c r="DH103" s="3">
        <f t="shared" si="153"/>
        <v>485454.5819224607</v>
      </c>
      <c r="DI103" s="3">
        <f t="shared" si="153"/>
        <v>490309.12774168531</v>
      </c>
      <c r="DJ103" s="3">
        <f t="shared" si="153"/>
        <v>495212.21901910217</v>
      </c>
      <c r="DK103" s="3">
        <f t="shared" si="153"/>
        <v>500164.34120929317</v>
      </c>
      <c r="DL103" s="3">
        <f t="shared" si="153"/>
        <v>505165.9846213861</v>
      </c>
      <c r="DM103" s="3">
        <f t="shared" si="153"/>
        <v>510217.64446759998</v>
      </c>
      <c r="DN103" s="3">
        <f t="shared" si="153"/>
        <v>515319.82091227599</v>
      </c>
      <c r="DO103" s="3">
        <f t="shared" si="153"/>
        <v>520473.01912139874</v>
      </c>
      <c r="DP103" s="3">
        <f t="shared" si="153"/>
        <v>525677.74931261269</v>
      </c>
      <c r="DQ103" s="3">
        <f t="shared" si="153"/>
        <v>530934.5268057388</v>
      </c>
      <c r="DR103" s="3">
        <f t="shared" ref="DR103:EW103" si="154">DQ103*(1+$AB$97)</f>
        <v>536243.87207379623</v>
      </c>
      <c r="DS103" s="3">
        <f t="shared" si="154"/>
        <v>541606.31079453416</v>
      </c>
      <c r="DT103" s="3">
        <f t="shared" si="154"/>
        <v>547022.37390247954</v>
      </c>
      <c r="DU103" s="3">
        <f t="shared" si="154"/>
        <v>552492.59764150437</v>
      </c>
      <c r="DV103" s="3">
        <f t="shared" si="154"/>
        <v>558017.52361791942</v>
      </c>
      <c r="DW103" s="3">
        <f t="shared" si="154"/>
        <v>563597.69885409856</v>
      </c>
      <c r="DX103" s="3">
        <f t="shared" si="154"/>
        <v>569233.67584263952</v>
      </c>
      <c r="DY103" s="3">
        <f t="shared" si="154"/>
        <v>574926.01260106592</v>
      </c>
      <c r="DZ103" s="3">
        <f t="shared" si="154"/>
        <v>580675.27272707655</v>
      </c>
      <c r="EA103" s="3">
        <f t="shared" si="154"/>
        <v>586482.02545434737</v>
      </c>
      <c r="EB103" s="3">
        <f t="shared" si="154"/>
        <v>592346.84570889082</v>
      </c>
      <c r="EC103" s="3">
        <f t="shared" si="154"/>
        <v>598270.31416597974</v>
      </c>
      <c r="ED103" s="3">
        <f t="shared" si="154"/>
        <v>604253.01730763959</v>
      </c>
      <c r="EE103" s="3">
        <f t="shared" si="154"/>
        <v>610295.54748071602</v>
      </c>
      <c r="EF103" s="3">
        <f t="shared" si="154"/>
        <v>616398.5029555232</v>
      </c>
      <c r="EG103" s="3">
        <f t="shared" si="154"/>
        <v>622562.48798507848</v>
      </c>
      <c r="EH103" s="3">
        <f t="shared" si="154"/>
        <v>628788.11286492925</v>
      </c>
      <c r="EI103" s="3">
        <f t="shared" si="154"/>
        <v>635075.9939935786</v>
      </c>
      <c r="EJ103" s="3">
        <f t="shared" si="154"/>
        <v>641426.75393351435</v>
      </c>
      <c r="EK103" s="3">
        <f t="shared" si="154"/>
        <v>647841.02147284953</v>
      </c>
      <c r="EL103" s="3">
        <f t="shared" si="154"/>
        <v>654319.43168757798</v>
      </c>
      <c r="EM103" s="3">
        <f t="shared" si="154"/>
        <v>660862.62600445375</v>
      </c>
      <c r="EN103" s="3">
        <f t="shared" si="154"/>
        <v>667471.25226449827</v>
      </c>
      <c r="EO103" s="3">
        <f t="shared" si="154"/>
        <v>674145.96478714328</v>
      </c>
      <c r="EP103" s="3">
        <f t="shared" si="154"/>
        <v>680887.42443501472</v>
      </c>
      <c r="EQ103" s="3">
        <f t="shared" si="154"/>
        <v>687696.29867936485</v>
      </c>
      <c r="ER103" s="3">
        <f t="shared" si="154"/>
        <v>694573.26166615845</v>
      </c>
      <c r="ES103" s="3">
        <f t="shared" si="154"/>
        <v>701518.99428282003</v>
      </c>
      <c r="ET103" s="3">
        <f t="shared" si="154"/>
        <v>708534.18422564829</v>
      </c>
      <c r="EU103" s="3">
        <f t="shared" si="154"/>
        <v>715619.52606790478</v>
      </c>
      <c r="EV103" s="3">
        <f t="shared" si="154"/>
        <v>722775.72132858378</v>
      </c>
      <c r="EW103" s="3">
        <f t="shared" si="154"/>
        <v>730003.47854186967</v>
      </c>
      <c r="EX103" s="3">
        <f t="shared" ref="EX103:FF103" si="155">EW103*(1+$AB$97)</f>
        <v>737303.51332728832</v>
      </c>
      <c r="EY103" s="3">
        <f t="shared" si="155"/>
        <v>744676.5484605612</v>
      </c>
      <c r="EZ103" s="3">
        <f t="shared" si="155"/>
        <v>752123.31394516677</v>
      </c>
      <c r="FA103" s="3">
        <f t="shared" si="155"/>
        <v>759644.54708461848</v>
      </c>
      <c r="FB103" s="3">
        <f t="shared" si="155"/>
        <v>767240.99255546462</v>
      </c>
      <c r="FC103" s="3">
        <f t="shared" si="155"/>
        <v>774913.40248101926</v>
      </c>
      <c r="FD103" s="3">
        <f t="shared" si="155"/>
        <v>782662.53650582943</v>
      </c>
      <c r="FE103" s="3">
        <f t="shared" si="155"/>
        <v>790489.16187088774</v>
      </c>
      <c r="FF103" s="3">
        <f t="shared" si="155"/>
        <v>798394.05348959658</v>
      </c>
    </row>
    <row r="104" spans="1:162" x14ac:dyDescent="0.2">
      <c r="R104" s="4">
        <f t="shared" ref="R104:Y104" si="156">R103/R96</f>
        <v>0.65588283512760259</v>
      </c>
      <c r="S104" s="4">
        <f t="shared" si="156"/>
        <v>0.6830243940793741</v>
      </c>
      <c r="T104" s="4">
        <f t="shared" si="156"/>
        <v>0.57557420887226429</v>
      </c>
      <c r="U104" s="4">
        <f t="shared" si="156"/>
        <v>0.46347083821690782</v>
      </c>
      <c r="V104" s="4">
        <f t="shared" si="156"/>
        <v>0.57062696637647892</v>
      </c>
      <c r="W104" s="4">
        <f t="shared" si="156"/>
        <v>0.6517991624617776</v>
      </c>
      <c r="X104" s="4">
        <f t="shared" si="156"/>
        <v>0.71709608350769916</v>
      </c>
      <c r="Y104" s="4">
        <f t="shared" si="156"/>
        <v>0.76978401004852415</v>
      </c>
    </row>
    <row r="109" spans="1:162" x14ac:dyDescent="0.2">
      <c r="R109" s="4"/>
      <c r="S109" s="4"/>
      <c r="T109" s="4"/>
      <c r="U109" s="4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2025-03-30T03:52:11Z</dcterms:created>
  <dcterms:modified xsi:type="dcterms:W3CDTF">2025-05-11T04:50:02Z</dcterms:modified>
</cp:coreProperties>
</file>