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3CE0028-B6A3-4AB9-AA79-2DD11FB9BD2A}" xr6:coauthVersionLast="47" xr6:coauthVersionMax="47" xr10:uidLastSave="{00000000-0000-0000-0000-000000000000}"/>
  <bookViews>
    <workbookView xWindow="4425" yWindow="645" windowWidth="22935" windowHeight="13935" xr2:uid="{B5255683-9904-4B96-B116-504FB2085B5B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 s="1"/>
  <c r="U9" i="2" s="1"/>
  <c r="V9" i="2" s="1"/>
  <c r="W71" i="2"/>
  <c r="X71" i="2" s="1"/>
  <c r="Y71" i="2" s="1"/>
  <c r="Z71" i="2" s="1"/>
  <c r="AA71" i="2" s="1"/>
  <c r="R71" i="2"/>
  <c r="S71" i="2" s="1"/>
  <c r="T71" i="2" s="1"/>
  <c r="U71" i="2" s="1"/>
  <c r="V71" i="2" s="1"/>
  <c r="R20" i="2"/>
  <c r="R35" i="2"/>
  <c r="M29" i="2"/>
  <c r="N29" i="2"/>
  <c r="O29" i="2"/>
  <c r="L19" i="2"/>
  <c r="L21" i="2" s="1"/>
  <c r="L23" i="2" s="1"/>
  <c r="L25" i="2" s="1"/>
  <c r="L18" i="2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R17" i="2"/>
  <c r="S17" i="2" s="1"/>
  <c r="T17" i="2" s="1"/>
  <c r="U17" i="2" s="1"/>
  <c r="V17" i="2" s="1"/>
  <c r="W17" i="2" s="1"/>
  <c r="X17" i="2" s="1"/>
  <c r="Y17" i="2" s="1"/>
  <c r="Z17" i="2" s="1"/>
  <c r="AA17" i="2" s="1"/>
  <c r="R16" i="2"/>
  <c r="S16" i="2" s="1"/>
  <c r="T16" i="2" s="1"/>
  <c r="U16" i="2" s="1"/>
  <c r="V16" i="2" s="1"/>
  <c r="W16" i="2" s="1"/>
  <c r="X16" i="2" s="1"/>
  <c r="Y16" i="2" s="1"/>
  <c r="Z16" i="2" s="1"/>
  <c r="AA16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G33" i="2" s="1"/>
  <c r="H18" i="2"/>
  <c r="C18" i="2"/>
  <c r="H37" i="2"/>
  <c r="H36" i="2"/>
  <c r="C35" i="2"/>
  <c r="D35" i="2"/>
  <c r="E35" i="2"/>
  <c r="F35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3" i="2"/>
  <c r="Q83" i="2"/>
  <c r="O83" i="2"/>
  <c r="P91" i="2"/>
  <c r="Q91" i="2"/>
  <c r="O91" i="2"/>
  <c r="Q62" i="2"/>
  <c r="P62" i="2"/>
  <c r="P37" i="2"/>
  <c r="Q36" i="2"/>
  <c r="P36" i="2"/>
  <c r="Q49" i="2"/>
  <c r="P49" i="2"/>
  <c r="Q37" i="2"/>
  <c r="Q20" i="2"/>
  <c r="P20" i="2"/>
  <c r="O20" i="2"/>
  <c r="P18" i="2"/>
  <c r="Q18" i="2"/>
  <c r="O18" i="2"/>
  <c r="P13" i="2"/>
  <c r="Q13" i="2"/>
  <c r="O13" i="2"/>
  <c r="O9" i="2"/>
  <c r="O27" i="2" s="1"/>
  <c r="M35" i="2"/>
  <c r="N35" i="2"/>
  <c r="O35" i="2"/>
  <c r="G37" i="2"/>
  <c r="G36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O4" i="1"/>
  <c r="O7" i="1" s="1"/>
  <c r="W9" i="2" l="1"/>
  <c r="X9" i="2" s="1"/>
  <c r="Y9" i="2" s="1"/>
  <c r="Z9" i="2" s="1"/>
  <c r="AA9" i="2" s="1"/>
  <c r="F28" i="2"/>
  <c r="C14" i="2"/>
  <c r="C31" i="2" s="1"/>
  <c r="E33" i="2"/>
  <c r="G28" i="2"/>
  <c r="J9" i="2"/>
  <c r="J27" i="2" s="1"/>
  <c r="H27" i="2"/>
  <c r="H35" i="2"/>
  <c r="I20" i="2" s="1"/>
  <c r="I18" i="2"/>
  <c r="I33" i="2" s="1"/>
  <c r="J18" i="2"/>
  <c r="J33" i="2" s="1"/>
  <c r="J28" i="2"/>
  <c r="I28" i="2"/>
  <c r="F33" i="2"/>
  <c r="D33" i="2"/>
  <c r="C19" i="2"/>
  <c r="C21" i="2" s="1"/>
  <c r="C23" i="2" s="1"/>
  <c r="C25" i="2" s="1"/>
  <c r="I13" i="2"/>
  <c r="I14" i="2" s="1"/>
  <c r="I19" i="2" s="1"/>
  <c r="G19" i="2"/>
  <c r="H33" i="2"/>
  <c r="E28" i="2"/>
  <c r="H14" i="2"/>
  <c r="C33" i="2"/>
  <c r="F14" i="2"/>
  <c r="D28" i="2"/>
  <c r="E14" i="2"/>
  <c r="D14" i="2"/>
  <c r="I27" i="2"/>
  <c r="X29" i="2"/>
  <c r="R29" i="2"/>
  <c r="O33" i="2"/>
  <c r="P35" i="2"/>
  <c r="W27" i="2"/>
  <c r="W13" i="2"/>
  <c r="W14" i="2" s="1"/>
  <c r="P92" i="2"/>
  <c r="Q92" i="2"/>
  <c r="P33" i="2"/>
  <c r="Q63" i="2"/>
  <c r="Q64" i="2" s="1"/>
  <c r="Q33" i="2"/>
  <c r="P63" i="2"/>
  <c r="P64" i="2" s="1"/>
  <c r="O92" i="2"/>
  <c r="Q66" i="2"/>
  <c r="P66" i="2"/>
  <c r="O14" i="2"/>
  <c r="O31" i="2" s="1"/>
  <c r="G35" i="2"/>
  <c r="Q27" i="2"/>
  <c r="Q35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X13" i="2"/>
  <c r="X14" i="2" s="1"/>
  <c r="X27" i="2"/>
  <c r="I32" i="2"/>
  <c r="I21" i="2"/>
  <c r="I22" i="2" s="1"/>
  <c r="I23" i="2" s="1"/>
  <c r="I35" i="2" s="1"/>
  <c r="Y13" i="2"/>
  <c r="Y14" i="2" s="1"/>
  <c r="Y27" i="2"/>
  <c r="Y29" i="2"/>
  <c r="O19" i="2"/>
  <c r="O21" i="2" s="1"/>
  <c r="R15" i="2"/>
  <c r="S15" i="2" s="1"/>
  <c r="S77" i="2"/>
  <c r="R73" i="2"/>
  <c r="S73" i="2" s="1"/>
  <c r="R75" i="2"/>
  <c r="S75" i="2" s="1"/>
  <c r="R74" i="2"/>
  <c r="S74" i="2" s="1"/>
  <c r="R70" i="2"/>
  <c r="S70" i="2" s="1"/>
  <c r="S82" i="2"/>
  <c r="R81" i="2"/>
  <c r="S81" i="2" s="1"/>
  <c r="R80" i="2"/>
  <c r="S80" i="2" s="1"/>
  <c r="R79" i="2"/>
  <c r="S79" i="2" s="1"/>
  <c r="R78" i="2"/>
  <c r="S78" i="2" s="1"/>
  <c r="R76" i="2"/>
  <c r="S76" i="2" s="1"/>
  <c r="R72" i="2"/>
  <c r="S72" i="2" s="1"/>
  <c r="S91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J21" i="2" s="1"/>
  <c r="O32" i="2"/>
  <c r="Z27" i="2"/>
  <c r="Z13" i="2"/>
  <c r="Z14" i="2" s="1"/>
  <c r="Z29" i="2"/>
  <c r="AA29" i="2"/>
  <c r="R19" i="2"/>
  <c r="R33" i="2"/>
  <c r="P21" i="2"/>
  <c r="P23" i="2" s="1"/>
  <c r="P32" i="2"/>
  <c r="O23" i="2"/>
  <c r="Q21" i="2"/>
  <c r="Q32" i="2"/>
  <c r="S18" i="2"/>
  <c r="T13" i="2"/>
  <c r="T14" i="2" s="1"/>
  <c r="T27" i="2"/>
  <c r="T70" i="2" s="1"/>
  <c r="J22" i="2" l="1"/>
  <c r="J23" i="2" s="1"/>
  <c r="AA13" i="2"/>
  <c r="AA14" i="2" s="1"/>
  <c r="AA27" i="2"/>
  <c r="Q23" i="2"/>
  <c r="Q25" i="2" s="1"/>
  <c r="Q68" i="2"/>
  <c r="O25" i="2"/>
  <c r="O68" i="2"/>
  <c r="P25" i="2"/>
  <c r="P68" i="2"/>
  <c r="R21" i="2"/>
  <c r="R22" i="2" s="1"/>
  <c r="R32" i="2"/>
  <c r="T78" i="2"/>
  <c r="T91" i="2"/>
  <c r="T73" i="2"/>
  <c r="T75" i="2"/>
  <c r="T76" i="2"/>
  <c r="T81" i="2"/>
  <c r="T74" i="2"/>
  <c r="T72" i="2"/>
  <c r="T82" i="2"/>
  <c r="S19" i="2"/>
  <c r="S32" i="2" s="1"/>
  <c r="S33" i="2"/>
  <c r="T79" i="2"/>
  <c r="T80" i="2"/>
  <c r="T77" i="2"/>
  <c r="T29" i="2"/>
  <c r="T15" i="2"/>
  <c r="U27" i="2"/>
  <c r="U70" i="2" s="1"/>
  <c r="U13" i="2"/>
  <c r="U14" i="2" s="1"/>
  <c r="J25" i="2" l="1"/>
  <c r="J35" i="2"/>
  <c r="U76" i="2"/>
  <c r="U75" i="2"/>
  <c r="U74" i="2"/>
  <c r="R23" i="2"/>
  <c r="U73" i="2"/>
  <c r="U78" i="2"/>
  <c r="U72" i="2"/>
  <c r="U82" i="2"/>
  <c r="U77" i="2"/>
  <c r="U80" i="2"/>
  <c r="U79" i="2"/>
  <c r="U91" i="2"/>
  <c r="U81" i="2"/>
  <c r="U15" i="2"/>
  <c r="U29" i="2"/>
  <c r="V27" i="2"/>
  <c r="V70" i="2" s="1"/>
  <c r="W70" i="2" s="1"/>
  <c r="X70" i="2" s="1"/>
  <c r="Y70" i="2" s="1"/>
  <c r="Z70" i="2" s="1"/>
  <c r="AA70" i="2" s="1"/>
  <c r="V13" i="2"/>
  <c r="V14" i="2" s="1"/>
  <c r="T18" i="2"/>
  <c r="R68" i="2" l="1"/>
  <c r="R83" i="2" s="1"/>
  <c r="R92" i="2" s="1"/>
  <c r="S20" i="2"/>
  <c r="S21" i="2" s="1"/>
  <c r="S22" i="2" s="1"/>
  <c r="R25" i="2"/>
  <c r="V91" i="2"/>
  <c r="W91" i="2" s="1"/>
  <c r="X91" i="2" s="1"/>
  <c r="Y91" i="2" s="1"/>
  <c r="Z91" i="2" s="1"/>
  <c r="AA91" i="2" s="1"/>
  <c r="V74" i="2"/>
  <c r="W74" i="2" s="1"/>
  <c r="X74" i="2" s="1"/>
  <c r="Y74" i="2" s="1"/>
  <c r="Z74" i="2" s="1"/>
  <c r="AA74" i="2" s="1"/>
  <c r="V81" i="2"/>
  <c r="W81" i="2" s="1"/>
  <c r="X81" i="2" s="1"/>
  <c r="Y81" i="2" s="1"/>
  <c r="Z81" i="2" s="1"/>
  <c r="AA81" i="2" s="1"/>
  <c r="V73" i="2"/>
  <c r="W73" i="2" s="1"/>
  <c r="X73" i="2" s="1"/>
  <c r="Y73" i="2" s="1"/>
  <c r="Z73" i="2" s="1"/>
  <c r="AA73" i="2" s="1"/>
  <c r="V75" i="2"/>
  <c r="W75" i="2" s="1"/>
  <c r="X75" i="2" s="1"/>
  <c r="Y75" i="2" s="1"/>
  <c r="Z75" i="2" s="1"/>
  <c r="AA75" i="2" s="1"/>
  <c r="V76" i="2"/>
  <c r="W76" i="2" s="1"/>
  <c r="X76" i="2" s="1"/>
  <c r="Y76" i="2" s="1"/>
  <c r="Z76" i="2" s="1"/>
  <c r="AA76" i="2" s="1"/>
  <c r="V79" i="2"/>
  <c r="W79" i="2" s="1"/>
  <c r="X79" i="2" s="1"/>
  <c r="Y79" i="2" s="1"/>
  <c r="Z79" i="2" s="1"/>
  <c r="AA79" i="2" s="1"/>
  <c r="T19" i="2"/>
  <c r="T33" i="2"/>
  <c r="V78" i="2"/>
  <c r="W78" i="2" s="1"/>
  <c r="X78" i="2" s="1"/>
  <c r="Y78" i="2" s="1"/>
  <c r="Z78" i="2" s="1"/>
  <c r="AA78" i="2" s="1"/>
  <c r="V82" i="2"/>
  <c r="W82" i="2" s="1"/>
  <c r="X82" i="2" s="1"/>
  <c r="Y82" i="2" s="1"/>
  <c r="Z82" i="2" s="1"/>
  <c r="AA82" i="2" s="1"/>
  <c r="V80" i="2"/>
  <c r="W80" i="2" s="1"/>
  <c r="X80" i="2" s="1"/>
  <c r="Y80" i="2" s="1"/>
  <c r="Z80" i="2" s="1"/>
  <c r="AA80" i="2" s="1"/>
  <c r="V77" i="2"/>
  <c r="W77" i="2" s="1"/>
  <c r="X77" i="2" s="1"/>
  <c r="Y77" i="2" s="1"/>
  <c r="Z77" i="2" s="1"/>
  <c r="AA77" i="2" s="1"/>
  <c r="V72" i="2"/>
  <c r="W72" i="2" s="1"/>
  <c r="X72" i="2" s="1"/>
  <c r="Y72" i="2" s="1"/>
  <c r="Z72" i="2" s="1"/>
  <c r="AA72" i="2" s="1"/>
  <c r="V15" i="2"/>
  <c r="W15" i="2" s="1"/>
  <c r="X15" i="2" s="1"/>
  <c r="U18" i="2"/>
  <c r="Y15" i="2" l="1"/>
  <c r="X18" i="2"/>
  <c r="S23" i="2"/>
  <c r="S68" i="2" s="1"/>
  <c r="S83" i="2" s="1"/>
  <c r="S92" i="2" s="1"/>
  <c r="W29" i="2"/>
  <c r="V29" i="2"/>
  <c r="W18" i="2"/>
  <c r="V18" i="2"/>
  <c r="V19" i="2" s="1"/>
  <c r="V32" i="2" s="1"/>
  <c r="U19" i="2"/>
  <c r="U32" i="2" s="1"/>
  <c r="U33" i="2"/>
  <c r="T32" i="2"/>
  <c r="S35" i="2" l="1"/>
  <c r="T20" i="2" s="1"/>
  <c r="T21" i="2" s="1"/>
  <c r="T22" i="2" s="1"/>
  <c r="S25" i="2"/>
  <c r="X33" i="2"/>
  <c r="X19" i="2"/>
  <c r="X32" i="2" s="1"/>
  <c r="Y18" i="2"/>
  <c r="Z15" i="2"/>
  <c r="W19" i="2"/>
  <c r="W32" i="2" s="1"/>
  <c r="W33" i="2"/>
  <c r="V33" i="2"/>
  <c r="T23" i="2" l="1"/>
  <c r="T68" i="2" s="1"/>
  <c r="T83" i="2" s="1"/>
  <c r="T92" i="2" s="1"/>
  <c r="AA15" i="2"/>
  <c r="AA18" i="2" s="1"/>
  <c r="Z18" i="2"/>
  <c r="Y19" i="2"/>
  <c r="Y32" i="2" s="1"/>
  <c r="Y33" i="2"/>
  <c r="T35" i="2" l="1"/>
  <c r="U20" i="2" s="1"/>
  <c r="U21" i="2" s="1"/>
  <c r="U22" i="2" s="1"/>
  <c r="T25" i="2"/>
  <c r="Z33" i="2"/>
  <c r="Z19" i="2"/>
  <c r="Z32" i="2" s="1"/>
  <c r="AA19" i="2"/>
  <c r="AA32" i="2" s="1"/>
  <c r="AA33" i="2"/>
  <c r="U23" i="2"/>
  <c r="U68" i="2" l="1"/>
  <c r="U83" i="2" s="1"/>
  <c r="U92" i="2" s="1"/>
  <c r="U35" i="2"/>
  <c r="U25" i="2"/>
  <c r="V20" i="2" l="1"/>
  <c r="V21" i="2" s="1"/>
  <c r="V22" i="2" s="1"/>
  <c r="V23" i="2" l="1"/>
  <c r="V68" i="2" l="1"/>
  <c r="V83" i="2" s="1"/>
  <c r="V92" i="2" s="1"/>
  <c r="V25" i="2"/>
  <c r="V35" i="2"/>
  <c r="W20" i="2" l="1"/>
  <c r="W21" i="2" s="1"/>
  <c r="W22" i="2" s="1"/>
  <c r="W23" i="2" l="1"/>
  <c r="W68" i="2" l="1"/>
  <c r="W83" i="2" s="1"/>
  <c r="W92" i="2" s="1"/>
  <c r="W25" i="2"/>
  <c r="W35" i="2"/>
  <c r="X20" i="2" l="1"/>
  <c r="X21" i="2" s="1"/>
  <c r="X22" i="2" s="1"/>
  <c r="X23" i="2" l="1"/>
  <c r="X35" i="2" l="1"/>
  <c r="Y20" i="2" s="1"/>
  <c r="Y21" i="2" s="1"/>
  <c r="Y22" i="2" s="1"/>
  <c r="X25" i="2"/>
  <c r="X68" i="2"/>
  <c r="X83" i="2" s="1"/>
  <c r="X92" i="2" s="1"/>
  <c r="Y23" i="2" l="1"/>
  <c r="Y68" i="2" s="1"/>
  <c r="Y83" i="2" s="1"/>
  <c r="Y92" i="2" s="1"/>
  <c r="Y35" i="2"/>
  <c r="Y25" i="2" l="1"/>
  <c r="Z20" i="2"/>
  <c r="Z21" i="2" s="1"/>
  <c r="Z22" i="2" s="1"/>
  <c r="Z23" i="2" l="1"/>
  <c r="Z68" i="2" s="1"/>
  <c r="Z83" i="2" s="1"/>
  <c r="Z92" i="2" s="1"/>
  <c r="Z25" i="2" l="1"/>
  <c r="Z35" i="2"/>
  <c r="AA20" i="2" l="1"/>
  <c r="AA21" i="2" s="1"/>
  <c r="AA22" i="2" s="1"/>
  <c r="AA23" i="2" l="1"/>
  <c r="AA68" i="2" s="1"/>
  <c r="AA83" i="2" s="1"/>
  <c r="AA92" i="2" s="1"/>
  <c r="AB92" i="2" l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AD87" i="2" s="1"/>
  <c r="AD88" i="2" s="1"/>
  <c r="AA25" i="2"/>
  <c r="AA35" i="2"/>
  <c r="AD89" i="2" l="1"/>
</calcChain>
</file>

<file path=xl/sharedStrings.xml><?xml version="1.0" encoding="utf-8"?>
<sst xmlns="http://schemas.openxmlformats.org/spreadsheetml/2006/main" count="122" uniqueCount="106">
  <si>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</si>
  <si>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</si>
  <si>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</si>
  <si>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</si>
  <si>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</si>
  <si>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</si>
  <si>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</si>
  <si>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</si>
  <si>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</si>
  <si>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</si>
  <si>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</si>
  <si>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</si>
  <si>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</si>
  <si>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</si>
  <si>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</si>
  <si>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</si>
  <si>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</si>
  <si>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</si>
  <si>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</si>
  <si>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</si>
  <si>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</si>
  <si>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</si>
  <si>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</si>
  <si>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</si>
  <si>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</si>
  <si>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</si>
  <si>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</si>
  <si>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</si>
  <si>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</si>
  <si>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</si>
  <si>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</si>
  <si>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</si>
  <si>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</si>
  <si>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</si>
  <si>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</si>
  <si>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</si>
  <si>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</si>
  <si>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</si>
  <si>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</si>
  <si>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</si>
  <si>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</si>
  <si>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</si>
  <si>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</si>
  <si>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</si>
  <si>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</si>
  <si>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</si>
  <si>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</si>
  <si>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</si>
  <si>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</si>
  <si>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</si>
  <si>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</si>
  <si>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</si>
  <si>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</si>
  <si>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</si>
  <si>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</si>
  <si>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</si>
  <si>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</si>
  <si>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</si>
  <si>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</si>
  <si>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</si>
  <si>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</si>
  <si>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</si>
  <si>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</si>
  <si>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</si>
  <si>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</si>
  <si>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</si>
  <si>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</si>
  <si>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</si>
  <si>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</si>
  <si>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</si>
  <si>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</si>
  <si>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</si>
  <si>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</si>
  <si>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</si>
  <si>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</si>
  <si>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</si>
  <si>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</si>
  <si>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</si>
  <si>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</si>
  <si>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</si>
  <si>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</si>
  <si>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</si>
  <si>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</si>
  <si>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</si>
  <si>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</si>
  <si>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</si>
  <si>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</si>
  <si>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</si>
  <si>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</si>
  <si>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</si>
  <si>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</si>
  <si>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</si>
  <si>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</si>
  <si>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</si>
  <si>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</si>
  <si>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</si>
  <si>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</si>
  <si>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</si>
  <si>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</si>
  <si>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</si>
  <si>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</si>
  <si>
    <t>Questions</t>
  </si>
  <si>
    <t>What is the competitive advantage over competitors?</t>
  </si>
  <si>
    <t>How will management advance the technology as competitors "catch up" to the current software?</t>
  </si>
  <si>
    <t>Is the ecosystem sufficient and is it disadvantageous to pay lower to switch to a different software due to learning?</t>
  </si>
  <si>
    <t>Can they sell cloud side software with server side compute?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</si>
</sst>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5" fillId="0" borderId="0" xfId="0" applyFont="1"/>
    <xf numFmtId="4" fontId="5" fillId="0" borderId="0" xfId="0" applyNumberFormat="1" applyFont="1"/>
    <xf numFmtId="3" fontId="5" fillId="0" borderId="0" xfId="0" applyNumberFormat="1" applyFont="1"/>
    <xf numFmtId="3" fontId="8" fillId="0" borderId="0" xfId="1" applyNumberFormat="1" applyFont="1"/>
    <xf numFmtId="3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4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9" fontId="7" fillId="0" borderId="0" xfId="0" applyNumberFormat="1" applyFont="1"/>
    <xf numFmtId="164" fontId="7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70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4"/>
  <sheetViews>
    <sheetView tabSelected="1" zoomScale="115" zoomScaleNormal="115" workbookViewId="0">
      <selection activeCell="M21" sqref="L21:M21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372.5</v>
      </c>
    </row>
    <row r="3" spans="1:16" x14ac:dyDescent="0.2">
      <c r="N3" s="2" t="s">
        <v>1</v>
      </c>
      <c r="O3" s="4">
        <v>424.2</v>
      </c>
      <c r="P3" s="16" t="s">
        <v>64</v>
      </c>
    </row>
    <row r="4" spans="1:16" x14ac:dyDescent="0.2">
      <c r="N4" s="2" t="s">
        <v>2</v>
      </c>
      <c r="O4" s="4">
        <f>O3*O2</f>
        <v>158014.5</v>
      </c>
    </row>
    <row r="5" spans="1:16" x14ac:dyDescent="0.2">
      <c r="N5" s="2" t="s">
        <v>3</v>
      </c>
      <c r="O5" s="4">
        <f>4931+782</f>
        <v>5713</v>
      </c>
      <c r="P5" s="16" t="s">
        <v>64</v>
      </c>
    </row>
    <row r="6" spans="1:16" x14ac:dyDescent="0.2">
      <c r="N6" s="2" t="s">
        <v>4</v>
      </c>
      <c r="O6" s="4">
        <f>6166+114+477+323+540</f>
        <v>7620</v>
      </c>
      <c r="P6" s="16" t="s">
        <v>64</v>
      </c>
    </row>
    <row r="7" spans="1:16" x14ac:dyDescent="0.2">
      <c r="N7" s="2" t="s">
        <v>5</v>
      </c>
      <c r="O7" s="4">
        <f>O4+O6-O5</f>
        <v>159921.5</v>
      </c>
    </row>
    <row r="8" spans="1:16" x14ac:dyDescent="0.2">
      <c r="O8" s="3" t="e">
        <f>O2/(1.1*4*Model!G25)</f>
        <v>#DIV/0!</v>
      </c>
    </row>
    <row r="10" spans="1:16" x14ac:dyDescent="0.2">
      <c r="J10" s="21" t="s">
        <v>101</v>
      </c>
      <c r="N10" s="18" t="s">
        <v>91</v>
      </c>
    </row>
    <row r="11" spans="1:16" x14ac:dyDescent="0.2">
      <c r="J11" s="20" t="s">
        <v>102</v>
      </c>
    </row>
    <row r="12" spans="1:16" x14ac:dyDescent="0.2">
      <c r="J12" s="20" t="s">
        <v>104</v>
      </c>
    </row>
    <row r="13" spans="1:16" x14ac:dyDescent="0.2">
      <c r="J13" s="20" t="s">
        <v>103</v>
      </c>
    </row>
    <row r="14" spans="1:16" x14ac:dyDescent="0.2">
      <c r="J14" s="2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4"/>
  <sheetViews>
    <sheetView zoomScale="130" zoomScaleNormal="130" workbookViewId="0">
      <pane xSplit="2" ySplit="2" topLeftCell="R69" activePane="bottomRight" state="frozen"/>
      <selection pane="topRight" activeCell="B1" sqref="B1"/>
      <selection pane="bottomLeft" activeCell="A2" sqref="A2"/>
      <selection pane="bottomRight" activeCell="AD82" sqref="AD82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7" x14ac:dyDescent="0.2">
      <c r="A1" s="5" t="s">
        <v>59</v>
      </c>
    </row>
    <row r="2" spans="1:27" x14ac:dyDescent="0.2">
      <c r="C2" s="7" t="s">
        <v>60</v>
      </c>
      <c r="D2" s="7" t="s">
        <v>61</v>
      </c>
      <c r="E2" s="7" t="s">
        <v>62</v>
      </c>
      <c r="F2" s="7" t="s">
        <v>63</v>
      </c>
      <c r="G2" s="6" t="s">
        <v>28</v>
      </c>
      <c r="H2" s="7" t="s">
        <v>64</v>
      </c>
      <c r="I2" s="7" t="s">
        <v>65</v>
      </c>
      <c r="J2" s="7" t="s">
        <v>63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>
        <f t="shared" ref="X2" si="2">W2+1</f>
        <v>2031</v>
      </c>
      <c r="Y2" s="8">
        <f t="shared" ref="Y2" si="3">X2+1</f>
        <v>2032</v>
      </c>
      <c r="Z2" s="8">
        <f t="shared" ref="Z2" si="4">Y2+1</f>
        <v>2033</v>
      </c>
      <c r="AA2" s="8">
        <f t="shared" ref="AA2" si="5">Z2+1</f>
        <v>2034</v>
      </c>
    </row>
    <row r="3" spans="1:27" x14ac:dyDescent="0.2">
      <c r="A3" s="5"/>
      <c r="B3" s="6" t="s">
        <v>86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5"/>
      <c r="B4" s="6" t="s">
        <v>87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7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7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7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6">SUM(P6:P8)</f>
        <v>19409</v>
      </c>
      <c r="Q9" s="10">
        <f t="shared" si="6"/>
        <v>21505</v>
      </c>
      <c r="R9" s="10">
        <v>23600</v>
      </c>
      <c r="S9" s="10">
        <f>R9*1.07</f>
        <v>25252</v>
      </c>
      <c r="T9" s="10">
        <f t="shared" ref="T9:AA9" si="7">S9*1.07</f>
        <v>27019.640000000003</v>
      </c>
      <c r="U9" s="10">
        <f t="shared" si="7"/>
        <v>28911.014800000004</v>
      </c>
      <c r="V9" s="10">
        <f t="shared" si="7"/>
        <v>30934.785836000006</v>
      </c>
      <c r="W9" s="10">
        <f t="shared" si="7"/>
        <v>33100.220844520009</v>
      </c>
      <c r="X9" s="10">
        <f t="shared" si="7"/>
        <v>35417.236303636411</v>
      </c>
      <c r="Y9" s="10">
        <f t="shared" si="7"/>
        <v>37896.44284489096</v>
      </c>
      <c r="Z9" s="10">
        <f t="shared" si="7"/>
        <v>40549.193844033332</v>
      </c>
      <c r="AA9" s="10">
        <f t="shared" si="7"/>
        <v>43387.63741311567</v>
      </c>
    </row>
    <row r="10" spans="1:27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7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7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7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8">SUM(E10:E12)</f>
        <v>0</v>
      </c>
      <c r="F13" s="7">
        <f t="shared" si="8"/>
        <v>0</v>
      </c>
      <c r="G13" s="7">
        <f t="shared" si="8"/>
        <v>0</v>
      </c>
      <c r="H13" s="7">
        <f t="shared" si="8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9">SUM(P10:P12)</f>
        <v>2354</v>
      </c>
      <c r="Q13" s="6">
        <f t="shared" si="9"/>
        <v>2358</v>
      </c>
      <c r="R13" s="6">
        <f t="shared" ref="R13:W13" si="10">R9*(1-R31)</f>
        <v>2595.9999999999995</v>
      </c>
      <c r="S13" s="6">
        <f t="shared" si="10"/>
        <v>2777.72</v>
      </c>
      <c r="T13" s="6">
        <f t="shared" si="10"/>
        <v>2972.1603999999998</v>
      </c>
      <c r="U13" s="6">
        <f t="shared" si="10"/>
        <v>3180.211628</v>
      </c>
      <c r="V13" s="6">
        <f t="shared" si="10"/>
        <v>3402.8264419600005</v>
      </c>
      <c r="W13" s="6">
        <f t="shared" si="10"/>
        <v>3641.0242928972007</v>
      </c>
      <c r="X13" s="6">
        <f t="shared" ref="X13:AA13" si="11">X9*(1-X31)</f>
        <v>3895.895993400005</v>
      </c>
      <c r="Y13" s="6">
        <f t="shared" si="11"/>
        <v>4168.6087129380048</v>
      </c>
      <c r="Z13" s="6">
        <f t="shared" si="11"/>
        <v>4460.4113228436663</v>
      </c>
      <c r="AA13" s="6">
        <f t="shared" si="11"/>
        <v>4772.6401154427231</v>
      </c>
    </row>
    <row r="14" spans="1:27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12">E9-E13</f>
        <v>0</v>
      </c>
      <c r="F14" s="6">
        <f t="shared" si="12"/>
        <v>0</v>
      </c>
      <c r="G14" s="6">
        <f t="shared" si="12"/>
        <v>5710</v>
      </c>
      <c r="H14" s="6">
        <f t="shared" si="12"/>
        <v>5235</v>
      </c>
      <c r="I14" s="6">
        <f t="shared" si="12"/>
        <v>5251</v>
      </c>
      <c r="J14" s="6">
        <f t="shared" si="12"/>
        <v>5356.02</v>
      </c>
      <c r="K14" s="6"/>
      <c r="O14" s="6">
        <f>O9-O13</f>
        <v>15441</v>
      </c>
      <c r="P14" s="6">
        <f t="shared" ref="P14:Q14" si="13">P9-P13</f>
        <v>17055</v>
      </c>
      <c r="Q14" s="6">
        <f t="shared" si="13"/>
        <v>19147</v>
      </c>
      <c r="R14" s="6">
        <f t="shared" ref="R14" si="14">R9-R13</f>
        <v>21004</v>
      </c>
      <c r="S14" s="6">
        <f t="shared" ref="S14" si="15">S9-S13</f>
        <v>22474.28</v>
      </c>
      <c r="T14" s="6">
        <f t="shared" ref="T14" si="16">T9-T13</f>
        <v>24047.479600000002</v>
      </c>
      <c r="U14" s="6">
        <f t="shared" ref="U14" si="17">U9-U13</f>
        <v>25730.803172000004</v>
      </c>
      <c r="V14" s="6">
        <f t="shared" ref="V14:W14" si="18">V9-V13</f>
        <v>27531.959394040005</v>
      </c>
      <c r="W14" s="6">
        <f t="shared" si="18"/>
        <v>29459.196551622808</v>
      </c>
      <c r="X14" s="6">
        <f t="shared" ref="X14:AA14" si="19">X9-X13</f>
        <v>31521.340310236406</v>
      </c>
      <c r="Y14" s="6">
        <f t="shared" si="19"/>
        <v>33727.834131952957</v>
      </c>
      <c r="Z14" s="6">
        <f t="shared" si="19"/>
        <v>36088.782521189663</v>
      </c>
      <c r="AA14" s="6">
        <f t="shared" si="19"/>
        <v>38614.997297672948</v>
      </c>
    </row>
    <row r="15" spans="1:27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20">H15*1.01</f>
        <v>1092.82</v>
      </c>
      <c r="J15" s="6">
        <f t="shared" si="20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21">R15*(1+S27)</f>
        <v>4631.1968379446644</v>
      </c>
      <c r="T15" s="6">
        <f t="shared" si="21"/>
        <v>4955.3806166007907</v>
      </c>
      <c r="U15" s="6">
        <f t="shared" si="21"/>
        <v>5302.2572597628468</v>
      </c>
      <c r="V15" s="6">
        <f t="shared" si="21"/>
        <v>5673.4152679462468</v>
      </c>
      <c r="W15" s="6">
        <f t="shared" si="21"/>
        <v>6070.5543367024848</v>
      </c>
      <c r="X15" s="6">
        <f t="shared" ref="X15" si="22">W15*(1+X27)</f>
        <v>6495.4931402716593</v>
      </c>
      <c r="Y15" s="6">
        <f t="shared" ref="Y15" si="23">X15*(1+Y27)</f>
        <v>6950.177660090676</v>
      </c>
      <c r="Z15" s="6">
        <f t="shared" ref="Z15" si="24">Y15*(1+Z27)</f>
        <v>7436.690096297024</v>
      </c>
      <c r="AA15" s="6">
        <f t="shared" ref="AA15" si="25">Z15*(1+AA27)</f>
        <v>7957.2584030378157</v>
      </c>
    </row>
    <row r="16" spans="1:27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20"/>
        <v>1642.26</v>
      </c>
      <c r="J16" s="6">
        <f t="shared" si="20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26">R16*1.08</f>
        <v>6723.1296000000011</v>
      </c>
      <c r="T16" s="6">
        <f t="shared" si="26"/>
        <v>7260.9799680000015</v>
      </c>
      <c r="U16" s="6">
        <f t="shared" si="26"/>
        <v>7841.8583654400018</v>
      </c>
      <c r="V16" s="6">
        <f t="shared" si="26"/>
        <v>8469.2070346752025</v>
      </c>
      <c r="W16" s="6">
        <f t="shared" si="26"/>
        <v>9146.74359744922</v>
      </c>
      <c r="X16" s="6">
        <f>W16*1.05</f>
        <v>9604.080777321682</v>
      </c>
      <c r="Y16" s="6">
        <f t="shared" ref="Y16:AA16" si="27">X16*1.05</f>
        <v>10084.284816187766</v>
      </c>
      <c r="Z16" s="6">
        <f t="shared" si="27"/>
        <v>10588.499056997156</v>
      </c>
      <c r="AA16" s="6">
        <f t="shared" si="27"/>
        <v>11117.924009847015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20"/>
        <v>380.77</v>
      </c>
      <c r="J17" s="6">
        <f t="shared" si="20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28">R17*1.08</f>
        <v>1783.4256000000003</v>
      </c>
      <c r="T17" s="6">
        <f t="shared" si="28"/>
        <v>1926.0996480000003</v>
      </c>
      <c r="U17" s="6">
        <f t="shared" si="28"/>
        <v>2080.1876198400005</v>
      </c>
      <c r="V17" s="6">
        <f t="shared" si="28"/>
        <v>2246.6026294272006</v>
      </c>
      <c r="W17" s="6">
        <f t="shared" si="28"/>
        <v>2426.3308397813767</v>
      </c>
      <c r="X17" s="6">
        <f>W17*1.05</f>
        <v>2547.6473817704455</v>
      </c>
      <c r="Y17" s="6">
        <f t="shared" ref="Y17:AA17" si="29">X17*1.05</f>
        <v>2675.0297508589679</v>
      </c>
      <c r="Z17" s="6">
        <f t="shared" si="29"/>
        <v>2808.7812384019162</v>
      </c>
      <c r="AA17" s="6">
        <f t="shared" si="29"/>
        <v>2949.220300322012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30">SUM(D15:D17)</f>
        <v>2784</v>
      </c>
      <c r="E18" s="6">
        <f t="shared" si="30"/>
        <v>0</v>
      </c>
      <c r="F18" s="6">
        <f t="shared" si="30"/>
        <v>0</v>
      </c>
      <c r="G18" s="6">
        <f t="shared" si="30"/>
        <v>0</v>
      </c>
      <c r="H18" s="6">
        <f t="shared" si="30"/>
        <v>3085</v>
      </c>
      <c r="I18" s="6">
        <f t="shared" si="30"/>
        <v>3115.85</v>
      </c>
      <c r="J18" s="6">
        <f t="shared" si="30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31">SUM(P15:P17)</f>
        <v>10237</v>
      </c>
      <c r="Q18" s="6">
        <f t="shared" si="31"/>
        <v>11237</v>
      </c>
      <c r="R18" s="6">
        <f t="shared" si="31"/>
        <v>12204.661343873518</v>
      </c>
      <c r="S18" s="6">
        <f t="shared" si="31"/>
        <v>13137.752037944667</v>
      </c>
      <c r="T18" s="6">
        <f t="shared" si="31"/>
        <v>14142.460232600792</v>
      </c>
      <c r="U18" s="6">
        <f t="shared" si="31"/>
        <v>15224.303245042849</v>
      </c>
      <c r="V18" s="6">
        <f t="shared" si="31"/>
        <v>16389.224932048652</v>
      </c>
      <c r="W18" s="6">
        <f t="shared" ref="W18:AA18" si="32">SUM(W15:W17)</f>
        <v>17643.628773933084</v>
      </c>
      <c r="X18" s="6">
        <f t="shared" si="32"/>
        <v>18647.221299363788</v>
      </c>
      <c r="Y18" s="6">
        <f t="shared" si="32"/>
        <v>19709.492227137413</v>
      </c>
      <c r="Z18" s="6">
        <f t="shared" si="32"/>
        <v>20833.970391696097</v>
      </c>
      <c r="AA18" s="6">
        <f t="shared" si="32"/>
        <v>22024.402713206844</v>
      </c>
    </row>
    <row r="19" spans="2:27" x14ac:dyDescent="0.2">
      <c r="B19" s="6" t="s">
        <v>19</v>
      </c>
      <c r="C19" s="6">
        <f>C14-C18</f>
        <v>0</v>
      </c>
      <c r="D19" s="6">
        <f t="shared" ref="D19:J19" si="33">D14-D18</f>
        <v>1927</v>
      </c>
      <c r="E19" s="6">
        <f t="shared" si="33"/>
        <v>0</v>
      </c>
      <c r="F19" s="6">
        <f t="shared" si="33"/>
        <v>0</v>
      </c>
      <c r="G19" s="6">
        <f t="shared" si="33"/>
        <v>5710</v>
      </c>
      <c r="H19" s="6">
        <f t="shared" si="33"/>
        <v>2150</v>
      </c>
      <c r="I19" s="6">
        <f t="shared" si="33"/>
        <v>2135.15</v>
      </c>
      <c r="J19" s="6">
        <f t="shared" si="33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34">P14-P18</f>
        <v>6818</v>
      </c>
      <c r="Q19" s="6">
        <f t="shared" si="34"/>
        <v>7910</v>
      </c>
      <c r="R19" s="6">
        <f t="shared" si="34"/>
        <v>8799.3386561264815</v>
      </c>
      <c r="S19" s="6">
        <f t="shared" si="34"/>
        <v>9336.527962055332</v>
      </c>
      <c r="T19" s="6">
        <f t="shared" si="34"/>
        <v>9905.0193673992108</v>
      </c>
      <c r="U19" s="6">
        <f t="shared" si="34"/>
        <v>10506.499926957154</v>
      </c>
      <c r="V19" s="6">
        <f t="shared" si="34"/>
        <v>11142.734461991353</v>
      </c>
      <c r="W19" s="6">
        <f t="shared" ref="W19:AA19" si="35">W14-W18</f>
        <v>11815.567777689725</v>
      </c>
      <c r="X19" s="6">
        <f t="shared" si="35"/>
        <v>12874.119010872619</v>
      </c>
      <c r="Y19" s="6">
        <f t="shared" si="35"/>
        <v>14018.341904815545</v>
      </c>
      <c r="Z19" s="6">
        <f t="shared" si="35"/>
        <v>15254.812129493566</v>
      </c>
      <c r="AA19" s="6">
        <f t="shared" si="35"/>
        <v>16590.594584466104</v>
      </c>
    </row>
    <row r="20" spans="2:27" x14ac:dyDescent="0.2">
      <c r="B20" s="17" t="s">
        <v>90</v>
      </c>
      <c r="I20" s="6">
        <f>H35*$AD$84/4</f>
        <v>-9.5350000000000001</v>
      </c>
      <c r="J20" s="6">
        <f>I35*$AD$84/4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 t="shared" ref="S20:AA20" si="36">R35*$AD$84</f>
        <v>31.19750336000001</v>
      </c>
      <c r="T20" s="6">
        <f t="shared" si="36"/>
        <v>186.70174608589448</v>
      </c>
      <c r="U20" s="6">
        <f t="shared" si="36"/>
        <v>354.22431656974726</v>
      </c>
      <c r="V20" s="6">
        <f t="shared" si="36"/>
        <v>534.51233901229386</v>
      </c>
      <c r="W20" s="6">
        <f t="shared" si="36"/>
        <v>728.35463590895438</v>
      </c>
      <c r="X20" s="6">
        <f t="shared" si="36"/>
        <v>936.58374797469241</v>
      </c>
      <c r="Y20" s="6">
        <f t="shared" si="36"/>
        <v>1165.8414137715577</v>
      </c>
      <c r="Z20" s="6">
        <f t="shared" si="36"/>
        <v>1417.8988568601035</v>
      </c>
      <c r="AA20" s="6">
        <f t="shared" si="36"/>
        <v>1694.6658592335746</v>
      </c>
    </row>
    <row r="21" spans="2:27" x14ac:dyDescent="0.2">
      <c r="B21" s="6" t="s">
        <v>20</v>
      </c>
      <c r="C21" s="6">
        <f>C19+C20</f>
        <v>0</v>
      </c>
      <c r="D21" s="6">
        <f t="shared" ref="D21:J21" si="37">D19+D20</f>
        <v>1927</v>
      </c>
      <c r="E21" s="6">
        <f t="shared" si="37"/>
        <v>0</v>
      </c>
      <c r="F21" s="6">
        <f t="shared" si="37"/>
        <v>0</v>
      </c>
      <c r="G21" s="6">
        <f t="shared" si="37"/>
        <v>5710</v>
      </c>
      <c r="H21" s="6">
        <f t="shared" si="37"/>
        <v>2150</v>
      </c>
      <c r="I21" s="6">
        <f t="shared" si="37"/>
        <v>2125.6150000000002</v>
      </c>
      <c r="J21" s="6">
        <f t="shared" si="37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38">P19+P20</f>
        <v>6721</v>
      </c>
      <c r="Q21" s="6">
        <f t="shared" si="38"/>
        <v>7789</v>
      </c>
      <c r="R21" s="6">
        <f t="shared" si="38"/>
        <v>8788.7711161264815</v>
      </c>
      <c r="S21" s="6">
        <f t="shared" si="38"/>
        <v>9367.7254654153312</v>
      </c>
      <c r="T21" s="6">
        <f t="shared" si="38"/>
        <v>10091.721113485106</v>
      </c>
      <c r="U21" s="6">
        <f t="shared" si="38"/>
        <v>10860.724243526902</v>
      </c>
      <c r="V21" s="6">
        <f t="shared" si="38"/>
        <v>11677.246801003646</v>
      </c>
      <c r="W21" s="6">
        <f t="shared" ref="W21:AA21" si="39">W19+W20</f>
        <v>12543.922413598679</v>
      </c>
      <c r="X21" s="6">
        <f t="shared" si="39"/>
        <v>13810.70275884731</v>
      </c>
      <c r="Y21" s="6">
        <f t="shared" si="39"/>
        <v>15184.183318587102</v>
      </c>
      <c r="Z21" s="6">
        <f t="shared" si="39"/>
        <v>16672.710986353668</v>
      </c>
      <c r="AA21" s="6">
        <f t="shared" si="39"/>
        <v>18285.260443699677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AA22" si="40">S21*0.17</f>
        <v>1592.5133291206064</v>
      </c>
      <c r="T22" s="6">
        <f t="shared" si="40"/>
        <v>1715.5925892924681</v>
      </c>
      <c r="U22" s="6">
        <f t="shared" si="40"/>
        <v>1846.3231213995734</v>
      </c>
      <c r="V22" s="6">
        <f t="shared" si="40"/>
        <v>1985.13195617062</v>
      </c>
      <c r="W22" s="6">
        <f t="shared" si="40"/>
        <v>2132.4668103117756</v>
      </c>
      <c r="X22" s="6">
        <f t="shared" si="40"/>
        <v>2347.8194690040427</v>
      </c>
      <c r="Y22" s="6">
        <f t="shared" si="40"/>
        <v>2581.3111641598075</v>
      </c>
      <c r="Z22" s="6">
        <f t="shared" si="40"/>
        <v>2834.3608676801236</v>
      </c>
      <c r="AA22" s="6">
        <f t="shared" si="40"/>
        <v>3108.4942754289455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41">D21-D22</f>
        <v>1927</v>
      </c>
      <c r="E23" s="10">
        <f t="shared" si="41"/>
        <v>0</v>
      </c>
      <c r="F23" s="10">
        <f t="shared" si="41"/>
        <v>0</v>
      </c>
      <c r="G23" s="10">
        <f t="shared" si="41"/>
        <v>5710</v>
      </c>
      <c r="H23" s="10">
        <f t="shared" si="41"/>
        <v>2150</v>
      </c>
      <c r="I23" s="10">
        <f t="shared" si="41"/>
        <v>1700.4920000000002</v>
      </c>
      <c r="J23" s="10">
        <f t="shared" si="41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42">P21-P22</f>
        <v>5350</v>
      </c>
      <c r="Q23" s="10">
        <f t="shared" si="42"/>
        <v>6418</v>
      </c>
      <c r="R23" s="10">
        <f t="shared" ref="R23" si="43">R21-R22</f>
        <v>7294.68002638498</v>
      </c>
      <c r="S23" s="10">
        <f t="shared" ref="S23" si="44">S21-S22</f>
        <v>7775.2121362947246</v>
      </c>
      <c r="T23" s="10">
        <f t="shared" ref="T23" si="45">T21-T22</f>
        <v>8376.128524192638</v>
      </c>
      <c r="U23" s="10">
        <f t="shared" ref="U23" si="46">U21-U22</f>
        <v>9014.4011221273286</v>
      </c>
      <c r="V23" s="10">
        <f t="shared" ref="V23:W23" si="47">V21-V22</f>
        <v>9692.1148448330259</v>
      </c>
      <c r="W23" s="10">
        <f t="shared" si="47"/>
        <v>10411.455603286904</v>
      </c>
      <c r="X23" s="10">
        <f t="shared" ref="X23:AA23" si="48">X21-X22</f>
        <v>11462.883289843267</v>
      </c>
      <c r="Y23" s="10">
        <f t="shared" si="48"/>
        <v>12602.872154427294</v>
      </c>
      <c r="Z23" s="10">
        <f t="shared" si="48"/>
        <v>13838.350118673545</v>
      </c>
      <c r="AA23" s="10">
        <f t="shared" si="48"/>
        <v>15176.766168270731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  <c r="X24" s="6">
        <v>450</v>
      </c>
      <c r="Y24" s="6">
        <v>450</v>
      </c>
      <c r="Z24" s="6">
        <v>450</v>
      </c>
      <c r="AA24" s="6">
        <v>450</v>
      </c>
    </row>
    <row r="25" spans="2:27" x14ac:dyDescent="0.2">
      <c r="B25" s="6" t="s">
        <v>23</v>
      </c>
      <c r="C25" s="9" t="e">
        <f t="shared" ref="C25:J25" si="49">C23/C24</f>
        <v>#DIV/0!</v>
      </c>
      <c r="D25" s="9" t="e">
        <f t="shared" si="49"/>
        <v>#DIV/0!</v>
      </c>
      <c r="E25" s="9" t="e">
        <f t="shared" si="49"/>
        <v>#DIV/0!</v>
      </c>
      <c r="F25" s="9" t="e">
        <f t="shared" si="49"/>
        <v>#DIV/0!</v>
      </c>
      <c r="G25" s="9" t="e">
        <f t="shared" si="49"/>
        <v>#DIV/0!</v>
      </c>
      <c r="H25" s="9">
        <f t="shared" si="49"/>
        <v>5.0683639792550688</v>
      </c>
      <c r="I25" s="9">
        <f t="shared" si="49"/>
        <v>4.0087034417727496</v>
      </c>
      <c r="J25" s="9">
        <f t="shared" si="49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50">P23/P24</f>
        <v>11.655773420479303</v>
      </c>
      <c r="Q25" s="9">
        <f t="shared" si="50"/>
        <v>14.262222222222222</v>
      </c>
      <c r="R25" s="9">
        <f t="shared" si="50"/>
        <v>16.21040005863329</v>
      </c>
      <c r="S25" s="9">
        <f t="shared" si="50"/>
        <v>17.278249191766054</v>
      </c>
      <c r="T25" s="9">
        <f t="shared" si="50"/>
        <v>18.613618942650305</v>
      </c>
      <c r="U25" s="9">
        <f t="shared" si="50"/>
        <v>20.032002493616286</v>
      </c>
      <c r="V25" s="9">
        <f t="shared" si="50"/>
        <v>21.538032988517834</v>
      </c>
      <c r="W25" s="9">
        <f t="shared" ref="W25:AA25" si="51">W23/W24</f>
        <v>23.136568007304231</v>
      </c>
      <c r="X25" s="9">
        <f t="shared" si="51"/>
        <v>25.473073977429483</v>
      </c>
      <c r="Y25" s="9">
        <f t="shared" si="51"/>
        <v>28.006382565393988</v>
      </c>
      <c r="Z25" s="9">
        <f t="shared" si="51"/>
        <v>30.751889152607877</v>
      </c>
      <c r="AA25" s="9">
        <f t="shared" si="51"/>
        <v>33.726147040601624</v>
      </c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52">R9/Q9-1</f>
        <v>9.7419204836084683E-2</v>
      </c>
      <c r="S27" s="12">
        <f t="shared" si="52"/>
        <v>7.0000000000000062E-2</v>
      </c>
      <c r="T27" s="12">
        <f t="shared" si="52"/>
        <v>7.0000000000000062E-2</v>
      </c>
      <c r="U27" s="12">
        <f t="shared" si="52"/>
        <v>7.0000000000000062E-2</v>
      </c>
      <c r="V27" s="12">
        <f t="shared" si="52"/>
        <v>7.0000000000000062E-2</v>
      </c>
      <c r="W27" s="12">
        <f t="shared" si="52"/>
        <v>7.0000000000000062E-2</v>
      </c>
      <c r="X27" s="12">
        <f t="shared" ref="X27" si="53">X9/W9-1</f>
        <v>7.0000000000000062E-2</v>
      </c>
      <c r="Y27" s="12">
        <f t="shared" ref="Y27" si="54">Y9/X9-1</f>
        <v>7.0000000000000062E-2</v>
      </c>
      <c r="Z27" s="12">
        <f t="shared" ref="Z27" si="55">Z9/Y9-1</f>
        <v>7.0000000000000062E-2</v>
      </c>
      <c r="AA27" s="12">
        <f t="shared" ref="AA27" si="56">AA9/Z9-1</f>
        <v>7.0000000000000062E-2</v>
      </c>
    </row>
    <row r="28" spans="2:27" s="10" customFormat="1" x14ac:dyDescent="0.2">
      <c r="B28" s="17" t="s">
        <v>89</v>
      </c>
      <c r="C28" s="12"/>
      <c r="D28" s="12" t="e">
        <f t="shared" ref="D28:J28" si="57">D9/C9-1</f>
        <v>#DIV/0!</v>
      </c>
      <c r="E28" s="12">
        <f t="shared" si="57"/>
        <v>-1</v>
      </c>
      <c r="F28" s="12" t="e">
        <f t="shared" si="57"/>
        <v>#DIV/0!</v>
      </c>
      <c r="G28" s="12" t="e">
        <f t="shared" si="57"/>
        <v>#DIV/0!</v>
      </c>
      <c r="H28" s="12">
        <f t="shared" si="57"/>
        <v>2.8546409807355566E-2</v>
      </c>
      <c r="I28" s="12">
        <f t="shared" si="57"/>
        <v>4.5973097224587534E-3</v>
      </c>
      <c r="J28" s="12">
        <f t="shared" si="57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88</v>
      </c>
      <c r="M29" s="12" t="e">
        <f t="shared" ref="M29:R29" si="58">SUM(M16:M17)/SUM(L16:L17)-1</f>
        <v>#DIV/0!</v>
      </c>
      <c r="N29" s="12" t="e">
        <f t="shared" si="58"/>
        <v>#DIV/0!</v>
      </c>
      <c r="O29" s="12" t="e">
        <f t="shared" si="58"/>
        <v>#DIV/0!</v>
      </c>
      <c r="P29" s="12">
        <f t="shared" si="58"/>
        <v>9.326006141910459E-2</v>
      </c>
      <c r="Q29" s="12">
        <f t="shared" si="58"/>
        <v>7.820816085156701E-2</v>
      </c>
      <c r="R29" s="12">
        <f t="shared" si="58"/>
        <v>8.0000000000000071E-2</v>
      </c>
      <c r="S29" s="12">
        <f t="shared" ref="S29:W29" si="59">SUM(S16:S17)/SUM(R16:R17)-1</f>
        <v>8.0000000000000071E-2</v>
      </c>
      <c r="T29" s="12">
        <f t="shared" si="59"/>
        <v>8.0000000000000293E-2</v>
      </c>
      <c r="U29" s="12">
        <f t="shared" si="59"/>
        <v>7.9999999999999849E-2</v>
      </c>
      <c r="V29" s="12">
        <f t="shared" si="59"/>
        <v>8.0000000000000071E-2</v>
      </c>
      <c r="W29" s="12">
        <f t="shared" si="59"/>
        <v>8.0000000000000071E-2</v>
      </c>
      <c r="X29" s="12">
        <f t="shared" ref="X29" si="60">SUM(X16:X17)/SUM(W16:W17)-1</f>
        <v>5.0000000000000044E-2</v>
      </c>
      <c r="Y29" s="12">
        <f t="shared" ref="Y29" si="61">SUM(Y16:Y17)/SUM(X16:X17)-1</f>
        <v>5.0000000000000044E-2</v>
      </c>
      <c r="Z29" s="12">
        <f t="shared" ref="Z29" si="62">SUM(Z16:Z17)/SUM(Y16:Y17)-1</f>
        <v>5.0000000000000044E-2</v>
      </c>
      <c r="AA29" s="12">
        <f t="shared" ref="AA29" si="63">SUM(AA16:AA17)/SUM(Z16:Z17)-1</f>
        <v>5.0000000000000044E-2</v>
      </c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64">D14/D9</f>
        <v>0.88736108495008481</v>
      </c>
      <c r="E31" s="13" t="e">
        <f t="shared" si="64"/>
        <v>#DIV/0!</v>
      </c>
      <c r="F31" s="13" t="e">
        <f t="shared" si="64"/>
        <v>#DIV/0!</v>
      </c>
      <c r="G31" s="13">
        <f t="shared" si="64"/>
        <v>1</v>
      </c>
      <c r="H31" s="13">
        <f t="shared" si="64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>
        <v>0.89</v>
      </c>
      <c r="Y31" s="13">
        <v>0.89</v>
      </c>
      <c r="Z31" s="13">
        <v>0.89</v>
      </c>
      <c r="AA31" s="13">
        <v>0.89</v>
      </c>
    </row>
    <row r="32" spans="2:27" s="10" customFormat="1" x14ac:dyDescent="0.2">
      <c r="B32" s="6" t="s">
        <v>36</v>
      </c>
      <c r="C32" s="14" t="e">
        <f t="shared" ref="C32:J32" si="65">C19/C9</f>
        <v>#DIV/0!</v>
      </c>
      <c r="D32" s="14">
        <f t="shared" si="65"/>
        <v>0.36296854398191752</v>
      </c>
      <c r="E32" s="14" t="e">
        <f t="shared" si="65"/>
        <v>#DIV/0!</v>
      </c>
      <c r="F32" s="14" t="e">
        <f t="shared" si="65"/>
        <v>#DIV/0!</v>
      </c>
      <c r="G32" s="14">
        <f t="shared" si="65"/>
        <v>1</v>
      </c>
      <c r="H32" s="14">
        <f t="shared" si="65"/>
        <v>0.36608207049208241</v>
      </c>
      <c r="I32" s="14">
        <f t="shared" si="65"/>
        <v>0.36188983050847462</v>
      </c>
      <c r="J32" s="14">
        <f t="shared" si="65"/>
        <v>0.36706738118976412</v>
      </c>
      <c r="K32" s="14"/>
      <c r="O32" s="14">
        <f t="shared" ref="O32:W32" si="66">O19/O9</f>
        <v>0.35595819606952173</v>
      </c>
      <c r="P32" s="14">
        <f t="shared" si="66"/>
        <v>0.35128033386573237</v>
      </c>
      <c r="Q32" s="14">
        <f t="shared" si="66"/>
        <v>0.36782143687514529</v>
      </c>
      <c r="R32" s="14">
        <f t="shared" si="66"/>
        <v>0.37285333288671529</v>
      </c>
      <c r="S32" s="14">
        <f t="shared" si="66"/>
        <v>0.36973419776870475</v>
      </c>
      <c r="T32" s="14">
        <f t="shared" si="66"/>
        <v>0.36658591185519901</v>
      </c>
      <c r="U32" s="14">
        <f t="shared" si="66"/>
        <v>0.3634082027088566</v>
      </c>
      <c r="V32" s="14">
        <f t="shared" si="66"/>
        <v>0.36020079534619315</v>
      </c>
      <c r="W32" s="14">
        <f t="shared" si="66"/>
        <v>0.3569634122137853</v>
      </c>
      <c r="X32" s="14">
        <f t="shared" ref="X32:AA32" si="67">X19/X9</f>
        <v>0.36349869031285165</v>
      </c>
      <c r="Y32" s="14">
        <f t="shared" si="67"/>
        <v>0.36991181368109433</v>
      </c>
      <c r="Z32" s="14">
        <f t="shared" si="67"/>
        <v>0.37620506558450995</v>
      </c>
      <c r="AA32" s="14">
        <f t="shared" si="67"/>
        <v>0.38238068661122637</v>
      </c>
    </row>
    <row r="33" spans="2:27" s="10" customFormat="1" x14ac:dyDescent="0.2">
      <c r="B33" s="6" t="s">
        <v>35</v>
      </c>
      <c r="C33" s="14" t="e">
        <f t="shared" ref="C33:J33" si="68">C18/C9</f>
        <v>#DIV/0!</v>
      </c>
      <c r="D33" s="14">
        <f t="shared" si="68"/>
        <v>0.52439254096816723</v>
      </c>
      <c r="E33" s="14" t="e">
        <f t="shared" si="68"/>
        <v>#DIV/0!</v>
      </c>
      <c r="F33" s="14" t="e">
        <f t="shared" si="68"/>
        <v>#DIV/0!</v>
      </c>
      <c r="G33" s="14">
        <f t="shared" si="68"/>
        <v>0</v>
      </c>
      <c r="H33" s="14">
        <f t="shared" si="68"/>
        <v>0.52528520347352292</v>
      </c>
      <c r="I33" s="14">
        <f t="shared" si="68"/>
        <v>0.52811016949152545</v>
      </c>
      <c r="J33" s="14">
        <f t="shared" si="68"/>
        <v>0.52293261881023589</v>
      </c>
      <c r="K33" s="14"/>
      <c r="O33" s="14">
        <f t="shared" ref="O33:AA33" si="69">O18/O9</f>
        <v>0.5210723616948767</v>
      </c>
      <c r="P33" s="14">
        <f t="shared" si="69"/>
        <v>0.52743572569426556</v>
      </c>
      <c r="Q33" s="14">
        <f t="shared" si="69"/>
        <v>0.52252964426877468</v>
      </c>
      <c r="R33" s="14">
        <f t="shared" si="69"/>
        <v>0.51714666711328472</v>
      </c>
      <c r="S33" s="14">
        <f t="shared" si="69"/>
        <v>0.52026580223129526</v>
      </c>
      <c r="T33" s="14">
        <f t="shared" si="69"/>
        <v>0.52341408814480095</v>
      </c>
      <c r="U33" s="14">
        <f t="shared" si="69"/>
        <v>0.52659179729114336</v>
      </c>
      <c r="V33" s="14">
        <f t="shared" si="69"/>
        <v>0.52979920465380681</v>
      </c>
      <c r="W33" s="14">
        <f t="shared" si="69"/>
        <v>0.53303658778621477</v>
      </c>
      <c r="X33" s="14">
        <f t="shared" si="69"/>
        <v>0.52650130968714837</v>
      </c>
      <c r="Y33" s="14">
        <f t="shared" si="69"/>
        <v>0.52008818631890574</v>
      </c>
      <c r="Z33" s="14">
        <f t="shared" si="69"/>
        <v>0.51379493441548996</v>
      </c>
      <c r="AA33" s="14">
        <f t="shared" si="69"/>
        <v>0.50761931338877364</v>
      </c>
    </row>
    <row r="35" spans="2:27" x14ac:dyDescent="0.2">
      <c r="B35" s="6" t="s">
        <v>27</v>
      </c>
      <c r="C35" s="6">
        <f t="shared" ref="C35:H35" si="70">C36-C37</f>
        <v>0</v>
      </c>
      <c r="D35" s="6">
        <f t="shared" si="70"/>
        <v>0</v>
      </c>
      <c r="E35" s="6">
        <f t="shared" si="70"/>
        <v>0</v>
      </c>
      <c r="F35" s="6">
        <f t="shared" si="70"/>
        <v>0</v>
      </c>
      <c r="G35" s="6">
        <f t="shared" si="70"/>
        <v>-262</v>
      </c>
      <c r="H35" s="6">
        <f t="shared" si="70"/>
        <v>-1907</v>
      </c>
      <c r="I35" s="6">
        <f t="shared" ref="I35:J35" si="71">H35+I23</f>
        <v>-206.50799999999981</v>
      </c>
      <c r="J35" s="6">
        <f t="shared" si="71"/>
        <v>1559.8751680000005</v>
      </c>
      <c r="K35" s="6"/>
      <c r="M35" s="6">
        <f>M36-M37</f>
        <v>0</v>
      </c>
      <c r="N35" s="6">
        <f>N36-N37</f>
        <v>0</v>
      </c>
      <c r="O35" s="6">
        <f>O36-O37</f>
        <v>0</v>
      </c>
      <c r="P35" s="6">
        <f>P36-P37</f>
        <v>2832</v>
      </c>
      <c r="Q35" s="6">
        <f>Q36-Q37</f>
        <v>189</v>
      </c>
      <c r="R35" s="6">
        <f>J35</f>
        <v>1559.8751680000005</v>
      </c>
      <c r="S35" s="6">
        <f t="shared" ref="S35:AA35" si="72">R35+S23</f>
        <v>9335.0873042947242</v>
      </c>
      <c r="T35" s="6">
        <f t="shared" si="72"/>
        <v>17711.215828487362</v>
      </c>
      <c r="U35" s="6">
        <f t="shared" si="72"/>
        <v>26725.616950614691</v>
      </c>
      <c r="V35" s="6">
        <f t="shared" si="72"/>
        <v>36417.731795447718</v>
      </c>
      <c r="W35" s="6">
        <f t="shared" si="72"/>
        <v>46829.187398734619</v>
      </c>
      <c r="X35" s="6">
        <f t="shared" si="72"/>
        <v>58292.070688577885</v>
      </c>
      <c r="Y35" s="6">
        <f t="shared" si="72"/>
        <v>70894.942843005178</v>
      </c>
      <c r="Z35" s="6">
        <f t="shared" si="72"/>
        <v>84733.29296167873</v>
      </c>
      <c r="AA35" s="6">
        <f t="shared" si="72"/>
        <v>99910.059129949455</v>
      </c>
    </row>
    <row r="36" spans="2:27" x14ac:dyDescent="0.2">
      <c r="B36" s="6" t="s">
        <v>3</v>
      </c>
      <c r="G36" s="6">
        <f>6758+677</f>
        <v>7435</v>
      </c>
      <c r="H36" s="4">
        <f>4931+782</f>
        <v>5713</v>
      </c>
      <c r="P36" s="6">
        <f>P39+P40</f>
        <v>7842</v>
      </c>
      <c r="Q36" s="6">
        <f>Q39+Q40</f>
        <v>7886</v>
      </c>
    </row>
    <row r="37" spans="2:27" x14ac:dyDescent="0.2">
      <c r="B37" s="6" t="s">
        <v>4</v>
      </c>
      <c r="G37" s="6">
        <f>6155+143+567+334+498</f>
        <v>7697</v>
      </c>
      <c r="H37" s="4">
        <f>6166+114+477+323+540</f>
        <v>7620</v>
      </c>
      <c r="P37" s="6">
        <f>SUM(P57:P61)</f>
        <v>5010</v>
      </c>
      <c r="Q37" s="6">
        <f>6155+143+567+334+498</f>
        <v>7697</v>
      </c>
    </row>
    <row r="39" spans="2:27" x14ac:dyDescent="0.2">
      <c r="B39" s="6" t="s">
        <v>3</v>
      </c>
      <c r="P39" s="6">
        <v>7141</v>
      </c>
      <c r="Q39" s="6">
        <v>7613</v>
      </c>
    </row>
    <row r="40" spans="2:27" x14ac:dyDescent="0.2">
      <c r="B40" s="6" t="s">
        <v>37</v>
      </c>
      <c r="P40" s="6">
        <v>701</v>
      </c>
      <c r="Q40" s="6">
        <v>273</v>
      </c>
    </row>
    <row r="41" spans="2:27" x14ac:dyDescent="0.2">
      <c r="B41" s="6" t="s">
        <v>38</v>
      </c>
      <c r="P41" s="6">
        <v>2224</v>
      </c>
      <c r="Q41" s="6">
        <v>2072</v>
      </c>
    </row>
    <row r="42" spans="2:27" x14ac:dyDescent="0.2">
      <c r="B42" s="6" t="s">
        <v>39</v>
      </c>
      <c r="P42" s="6">
        <v>1018</v>
      </c>
      <c r="Q42" s="6">
        <v>1274</v>
      </c>
    </row>
    <row r="43" spans="2:27" x14ac:dyDescent="0.2">
      <c r="B43" s="6" t="s">
        <v>40</v>
      </c>
      <c r="P43" s="6">
        <v>2030</v>
      </c>
      <c r="Q43" s="6">
        <v>1936</v>
      </c>
    </row>
    <row r="44" spans="2:27" x14ac:dyDescent="0.2">
      <c r="B44" s="6" t="s">
        <v>41</v>
      </c>
      <c r="P44" s="6">
        <v>358</v>
      </c>
      <c r="Q44" s="6">
        <v>281</v>
      </c>
    </row>
    <row r="45" spans="2:27" x14ac:dyDescent="0.2">
      <c r="B45" s="6" t="s">
        <v>42</v>
      </c>
      <c r="P45" s="6">
        <v>12805</v>
      </c>
      <c r="Q45" s="6">
        <v>12788</v>
      </c>
    </row>
    <row r="46" spans="2:27" x14ac:dyDescent="0.2">
      <c r="B46" s="6" t="s">
        <v>43</v>
      </c>
      <c r="P46" s="6">
        <v>1088</v>
      </c>
      <c r="Q46" s="6">
        <v>782</v>
      </c>
    </row>
    <row r="47" spans="2:27" x14ac:dyDescent="0.2">
      <c r="B47" s="6" t="s">
        <v>44</v>
      </c>
      <c r="P47" s="6">
        <v>1191</v>
      </c>
      <c r="Q47" s="6">
        <v>1657</v>
      </c>
    </row>
    <row r="48" spans="2:27" x14ac:dyDescent="0.2">
      <c r="B48" s="6" t="s">
        <v>45</v>
      </c>
      <c r="P48" s="6">
        <v>1223</v>
      </c>
      <c r="Q48" s="6">
        <v>1554</v>
      </c>
    </row>
    <row r="49" spans="2:17" x14ac:dyDescent="0.2">
      <c r="B49" s="6" t="s">
        <v>46</v>
      </c>
      <c r="P49" s="6">
        <f>SUM(P39:P48)</f>
        <v>29779</v>
      </c>
      <c r="Q49" s="6">
        <f>SUM(Q39:Q48)</f>
        <v>30230</v>
      </c>
    </row>
    <row r="51" spans="2:17" x14ac:dyDescent="0.2">
      <c r="B51" s="6" t="s">
        <v>47</v>
      </c>
      <c r="P51" s="6">
        <v>314</v>
      </c>
      <c r="Q51" s="6">
        <v>361</v>
      </c>
    </row>
    <row r="52" spans="2:17" x14ac:dyDescent="0.2">
      <c r="B52" s="6" t="s">
        <v>48</v>
      </c>
      <c r="P52" s="6">
        <v>1942</v>
      </c>
      <c r="Q52" s="6">
        <v>2336</v>
      </c>
    </row>
    <row r="53" spans="2:17" x14ac:dyDescent="0.2">
      <c r="B53" s="6" t="s">
        <v>52</v>
      </c>
      <c r="P53" s="6">
        <v>0</v>
      </c>
      <c r="Q53" s="6">
        <v>1499</v>
      </c>
    </row>
    <row r="54" spans="2:17" x14ac:dyDescent="0.2">
      <c r="B54" s="6" t="s">
        <v>49</v>
      </c>
      <c r="P54" s="6">
        <v>5837</v>
      </c>
      <c r="Q54" s="6">
        <v>6131</v>
      </c>
    </row>
    <row r="55" spans="2:17" x14ac:dyDescent="0.2">
      <c r="B55" s="6" t="s">
        <v>50</v>
      </c>
      <c r="P55" s="6">
        <v>85</v>
      </c>
      <c r="Q55" s="6">
        <v>119</v>
      </c>
    </row>
    <row r="56" spans="2:17" x14ac:dyDescent="0.2">
      <c r="B56" s="6" t="s">
        <v>51</v>
      </c>
      <c r="P56" s="6">
        <v>73</v>
      </c>
      <c r="Q56" s="6">
        <v>75</v>
      </c>
    </row>
    <row r="57" spans="2:17" x14ac:dyDescent="0.2">
      <c r="B57" s="6" t="s">
        <v>53</v>
      </c>
      <c r="P57" s="6">
        <v>3634</v>
      </c>
      <c r="Q57" s="6">
        <v>4129</v>
      </c>
    </row>
    <row r="58" spans="2:17" x14ac:dyDescent="0.2">
      <c r="B58" s="6" t="s">
        <v>54</v>
      </c>
      <c r="P58" s="6">
        <v>113</v>
      </c>
      <c r="Q58" s="6">
        <v>128</v>
      </c>
    </row>
    <row r="59" spans="2:17" x14ac:dyDescent="0.2">
      <c r="B59" s="6" t="s">
        <v>66</v>
      </c>
      <c r="P59" s="6">
        <v>514</v>
      </c>
      <c r="Q59" s="6">
        <v>548</v>
      </c>
    </row>
    <row r="60" spans="2:17" x14ac:dyDescent="0.2">
      <c r="B60" s="6" t="s">
        <v>51</v>
      </c>
      <c r="P60" s="6">
        <v>373</v>
      </c>
      <c r="Q60" s="6">
        <v>353</v>
      </c>
    </row>
    <row r="61" spans="2:17" x14ac:dyDescent="0.2">
      <c r="B61" s="6" t="s">
        <v>55</v>
      </c>
      <c r="P61" s="6">
        <v>376</v>
      </c>
      <c r="Q61" s="6">
        <v>446</v>
      </c>
    </row>
    <row r="62" spans="2:17" x14ac:dyDescent="0.2">
      <c r="B62" s="6" t="s">
        <v>57</v>
      </c>
      <c r="P62" s="6">
        <f>SUM(P51:P61)</f>
        <v>13261</v>
      </c>
      <c r="Q62" s="6">
        <f>SUM(Q51:Q61)</f>
        <v>16125</v>
      </c>
    </row>
    <row r="63" spans="2:17" x14ac:dyDescent="0.2">
      <c r="B63" s="6" t="s">
        <v>56</v>
      </c>
      <c r="P63" s="6">
        <f>P49-P62</f>
        <v>16518</v>
      </c>
      <c r="Q63" s="6">
        <f>Q49-Q62</f>
        <v>14105</v>
      </c>
    </row>
    <row r="64" spans="2:17" x14ac:dyDescent="0.2">
      <c r="B64" s="6" t="s">
        <v>58</v>
      </c>
      <c r="P64" s="6">
        <f>P63+P62</f>
        <v>29779</v>
      </c>
      <c r="Q64" s="6">
        <f>Q63+Q62</f>
        <v>30230</v>
      </c>
    </row>
    <row r="66" spans="2:29" x14ac:dyDescent="0.2">
      <c r="B66" s="6" t="s">
        <v>67</v>
      </c>
      <c r="P66" s="6">
        <f>P41/P9*360</f>
        <v>41.250966046679373</v>
      </c>
      <c r="Q66" s="6">
        <f>Q41/Q9*360</f>
        <v>34.68588700302255</v>
      </c>
    </row>
    <row r="67" spans="2:29" x14ac:dyDescent="0.2">
      <c r="Q67" s="14"/>
      <c r="R67" s="14"/>
      <c r="S67" s="14"/>
    </row>
    <row r="68" spans="2:29" s="10" customFormat="1" x14ac:dyDescent="0.2">
      <c r="B68" s="6" t="s">
        <v>68</v>
      </c>
      <c r="O68" s="10">
        <f t="shared" ref="O68:AA68" si="73">O23</f>
        <v>4884</v>
      </c>
      <c r="P68" s="10">
        <f t="shared" si="73"/>
        <v>5350</v>
      </c>
      <c r="Q68" s="10">
        <f t="shared" si="73"/>
        <v>6418</v>
      </c>
      <c r="R68" s="10">
        <f t="shared" si="73"/>
        <v>7294.68002638498</v>
      </c>
      <c r="S68" s="10">
        <f t="shared" si="73"/>
        <v>7775.2121362947246</v>
      </c>
      <c r="T68" s="10">
        <f t="shared" si="73"/>
        <v>8376.128524192638</v>
      </c>
      <c r="U68" s="10">
        <f t="shared" si="73"/>
        <v>9014.4011221273286</v>
      </c>
      <c r="V68" s="10">
        <f t="shared" si="73"/>
        <v>9692.1148448330259</v>
      </c>
      <c r="W68" s="10">
        <f t="shared" si="73"/>
        <v>10411.455603286904</v>
      </c>
      <c r="X68" s="10">
        <f t="shared" si="73"/>
        <v>11462.883289843267</v>
      </c>
      <c r="Y68" s="10">
        <f t="shared" si="73"/>
        <v>12602.872154427294</v>
      </c>
      <c r="Z68" s="10">
        <f t="shared" si="73"/>
        <v>13838.350118673545</v>
      </c>
      <c r="AA68" s="10">
        <f t="shared" si="73"/>
        <v>15176.766168270731</v>
      </c>
    </row>
    <row r="69" spans="2:29" x14ac:dyDescent="0.2">
      <c r="B69" s="6" t="s">
        <v>69</v>
      </c>
      <c r="O69" s="6">
        <v>4756</v>
      </c>
      <c r="P69" s="6">
        <v>5428</v>
      </c>
      <c r="Q69" s="6">
        <v>5560</v>
      </c>
      <c r="R69" s="14"/>
    </row>
    <row r="70" spans="2:29" x14ac:dyDescent="0.2">
      <c r="B70" s="6" t="s">
        <v>70</v>
      </c>
      <c r="O70" s="6">
        <v>856</v>
      </c>
      <c r="P70" s="6">
        <v>872</v>
      </c>
      <c r="Q70" s="6">
        <v>857</v>
      </c>
      <c r="R70" s="6">
        <f t="shared" ref="R70:AA70" si="74">Q70*(1+R27)</f>
        <v>940.48825854452457</v>
      </c>
      <c r="S70" s="6">
        <f t="shared" si="74"/>
        <v>1006.3224366426414</v>
      </c>
      <c r="T70" s="6">
        <f t="shared" si="74"/>
        <v>1076.7650072076262</v>
      </c>
      <c r="U70" s="6">
        <f t="shared" si="74"/>
        <v>1152.13855771216</v>
      </c>
      <c r="V70" s="6">
        <f t="shared" si="74"/>
        <v>1232.7882567520114</v>
      </c>
      <c r="W70" s="6">
        <f t="shared" si="74"/>
        <v>1319.0834347246523</v>
      </c>
      <c r="X70" s="6">
        <f t="shared" si="74"/>
        <v>1411.419275155378</v>
      </c>
      <c r="Y70" s="6">
        <f t="shared" si="74"/>
        <v>1510.2186244162547</v>
      </c>
      <c r="Z70" s="6">
        <f t="shared" si="74"/>
        <v>1615.9339281253926</v>
      </c>
      <c r="AA70" s="6">
        <f t="shared" si="74"/>
        <v>1729.0493030941702</v>
      </c>
    </row>
    <row r="71" spans="2:29" x14ac:dyDescent="0.2">
      <c r="B71" s="6" t="s">
        <v>71</v>
      </c>
      <c r="O71" s="6">
        <v>1440</v>
      </c>
      <c r="P71" s="6">
        <v>1718</v>
      </c>
      <c r="Q71" s="6">
        <v>1833</v>
      </c>
      <c r="R71" s="6">
        <f t="shared" ref="R71:AA71" si="75">Q71*1.1</f>
        <v>2016.3000000000002</v>
      </c>
      <c r="S71" s="6">
        <f t="shared" si="75"/>
        <v>2217.9300000000003</v>
      </c>
      <c r="T71" s="6">
        <f t="shared" si="75"/>
        <v>2439.7230000000004</v>
      </c>
      <c r="U71" s="6">
        <f t="shared" si="75"/>
        <v>2683.6953000000008</v>
      </c>
      <c r="V71" s="6">
        <f t="shared" si="75"/>
        <v>2952.0648300000012</v>
      </c>
      <c r="W71" s="6">
        <f t="shared" si="75"/>
        <v>3247.2713130000016</v>
      </c>
      <c r="X71" s="6">
        <f t="shared" si="75"/>
        <v>3571.9984443000021</v>
      </c>
      <c r="Y71" s="6">
        <f t="shared" si="75"/>
        <v>3929.1982887300028</v>
      </c>
      <c r="Z71" s="6">
        <f t="shared" si="75"/>
        <v>4322.1181176030032</v>
      </c>
      <c r="AA71" s="6">
        <f t="shared" si="75"/>
        <v>4754.3299293633036</v>
      </c>
    </row>
    <row r="72" spans="2:29" x14ac:dyDescent="0.2">
      <c r="B72" s="6" t="s">
        <v>72</v>
      </c>
      <c r="O72" s="6">
        <v>83</v>
      </c>
      <c r="P72" s="6">
        <v>72</v>
      </c>
      <c r="Q72" s="6">
        <v>77</v>
      </c>
      <c r="R72" s="6">
        <f t="shared" ref="R72:AA72" si="76">Q72*(1+R27)</f>
        <v>84.501278772378527</v>
      </c>
      <c r="S72" s="6">
        <f t="shared" si="76"/>
        <v>90.416368286445035</v>
      </c>
      <c r="T72" s="6">
        <f t="shared" si="76"/>
        <v>96.745514066496199</v>
      </c>
      <c r="U72" s="6">
        <f t="shared" si="76"/>
        <v>103.51770005115094</v>
      </c>
      <c r="V72" s="6">
        <f t="shared" si="76"/>
        <v>110.76393905473151</v>
      </c>
      <c r="W72" s="6">
        <f t="shared" si="76"/>
        <v>118.51741478856272</v>
      </c>
      <c r="X72" s="6">
        <f t="shared" si="76"/>
        <v>126.81363382376212</v>
      </c>
      <c r="Y72" s="6">
        <f t="shared" si="76"/>
        <v>135.69058819142546</v>
      </c>
      <c r="Z72" s="6">
        <f t="shared" si="76"/>
        <v>145.18892936482524</v>
      </c>
      <c r="AA72" s="6">
        <f t="shared" si="76"/>
        <v>155.35215442036301</v>
      </c>
    </row>
    <row r="73" spans="2:29" x14ac:dyDescent="0.2">
      <c r="B73" s="6" t="s">
        <v>73</v>
      </c>
      <c r="O73" s="6">
        <v>0</v>
      </c>
      <c r="P73" s="6">
        <v>0</v>
      </c>
      <c r="Q73" s="6">
        <v>78</v>
      </c>
      <c r="R73" s="6">
        <f t="shared" ref="R73:AA73" si="77">Q73*(1+R27)</f>
        <v>85.598697977214599</v>
      </c>
      <c r="S73" s="6">
        <f t="shared" si="77"/>
        <v>91.590606835619624</v>
      </c>
      <c r="T73" s="6">
        <f t="shared" si="77"/>
        <v>98.001949314113006</v>
      </c>
      <c r="U73" s="6">
        <f t="shared" si="77"/>
        <v>104.86208576610092</v>
      </c>
      <c r="V73" s="6">
        <f t="shared" si="77"/>
        <v>112.20243176972799</v>
      </c>
      <c r="W73" s="6">
        <f t="shared" si="77"/>
        <v>120.05660199360896</v>
      </c>
      <c r="X73" s="6">
        <f t="shared" si="77"/>
        <v>128.4605641331616</v>
      </c>
      <c r="Y73" s="6">
        <f t="shared" si="77"/>
        <v>137.45280362248292</v>
      </c>
      <c r="Z73" s="6">
        <f t="shared" si="77"/>
        <v>147.07449987605673</v>
      </c>
      <c r="AA73" s="6">
        <f t="shared" si="77"/>
        <v>157.36971486738071</v>
      </c>
    </row>
    <row r="74" spans="2:29" x14ac:dyDescent="0.2">
      <c r="B74" s="6" t="s">
        <v>44</v>
      </c>
      <c r="O74" s="6">
        <v>328</v>
      </c>
      <c r="P74" s="6">
        <v>-426</v>
      </c>
      <c r="Q74" s="6">
        <v>-468</v>
      </c>
      <c r="R74" s="6">
        <f t="shared" ref="R74:AA74" si="78">Q74*(1+R27)</f>
        <v>-513.59218786328768</v>
      </c>
      <c r="S74" s="6">
        <f t="shared" si="78"/>
        <v>-549.54364101371789</v>
      </c>
      <c r="T74" s="6">
        <f t="shared" si="78"/>
        <v>-588.01169588467815</v>
      </c>
      <c r="U74" s="6">
        <f t="shared" si="78"/>
        <v>-629.17251459660565</v>
      </c>
      <c r="V74" s="6">
        <f t="shared" si="78"/>
        <v>-673.21459061836811</v>
      </c>
      <c r="W74" s="6">
        <f t="shared" si="78"/>
        <v>-720.33961196165387</v>
      </c>
      <c r="X74" s="6">
        <f t="shared" si="78"/>
        <v>-770.7633847989697</v>
      </c>
      <c r="Y74" s="6">
        <f t="shared" si="78"/>
        <v>-824.71682173489762</v>
      </c>
      <c r="Z74" s="6">
        <f t="shared" si="78"/>
        <v>-882.44699925634052</v>
      </c>
      <c r="AA74" s="6">
        <f t="shared" si="78"/>
        <v>-944.21828920428436</v>
      </c>
    </row>
    <row r="75" spans="2:29" x14ac:dyDescent="0.2">
      <c r="B75" s="6" t="s">
        <v>74</v>
      </c>
      <c r="O75" s="6">
        <v>29</v>
      </c>
      <c r="P75" s="6">
        <v>-10</v>
      </c>
      <c r="Q75" s="6">
        <v>-35</v>
      </c>
      <c r="R75" s="6">
        <f t="shared" ref="R75:AA75" si="79">Q75*(1+R27)</f>
        <v>-38.409672169262961</v>
      </c>
      <c r="S75" s="6">
        <f t="shared" si="79"/>
        <v>-41.09834922111137</v>
      </c>
      <c r="T75" s="6">
        <f t="shared" si="79"/>
        <v>-43.975233666589169</v>
      </c>
      <c r="U75" s="6">
        <f t="shared" si="79"/>
        <v>-47.053500023250415</v>
      </c>
      <c r="V75" s="6">
        <f t="shared" si="79"/>
        <v>-50.34724502487795</v>
      </c>
      <c r="W75" s="6">
        <f t="shared" si="79"/>
        <v>-53.87155217661941</v>
      </c>
      <c r="X75" s="6">
        <f t="shared" si="79"/>
        <v>-57.642560828982774</v>
      </c>
      <c r="Y75" s="6">
        <f t="shared" si="79"/>
        <v>-61.677540087011572</v>
      </c>
      <c r="Z75" s="6">
        <f t="shared" si="79"/>
        <v>-65.994967893102384</v>
      </c>
      <c r="AA75" s="6">
        <f t="shared" si="79"/>
        <v>-70.614615645619551</v>
      </c>
      <c r="AC75" s="19"/>
    </row>
    <row r="76" spans="2:29" x14ac:dyDescent="0.2">
      <c r="B76" s="6" t="s">
        <v>75</v>
      </c>
      <c r="O76" s="6">
        <v>10</v>
      </c>
      <c r="P76" s="6">
        <v>3</v>
      </c>
      <c r="Q76" s="6">
        <v>10</v>
      </c>
      <c r="R76" s="6">
        <f t="shared" ref="R76:AA76" si="80">Q76*(1+R27)</f>
        <v>10.974192048360846</v>
      </c>
      <c r="S76" s="6">
        <f t="shared" si="80"/>
        <v>11.742385491746106</v>
      </c>
      <c r="T76" s="6">
        <f t="shared" si="80"/>
        <v>12.564352476168335</v>
      </c>
      <c r="U76" s="6">
        <f t="shared" si="80"/>
        <v>13.443857149500118</v>
      </c>
      <c r="V76" s="6">
        <f t="shared" si="80"/>
        <v>14.384927149965128</v>
      </c>
      <c r="W76" s="6">
        <f t="shared" si="80"/>
        <v>15.391872050462688</v>
      </c>
      <c r="X76" s="6">
        <f t="shared" si="80"/>
        <v>16.469303093995077</v>
      </c>
      <c r="Y76" s="6">
        <f t="shared" si="80"/>
        <v>17.622154310574732</v>
      </c>
      <c r="Z76" s="6">
        <f t="shared" si="80"/>
        <v>18.855705112314965</v>
      </c>
      <c r="AA76" s="6">
        <f t="shared" si="80"/>
        <v>20.175604470177014</v>
      </c>
      <c r="AC76" s="19"/>
    </row>
    <row r="77" spans="2:29" x14ac:dyDescent="0.2">
      <c r="B77" s="6" t="s">
        <v>38</v>
      </c>
      <c r="O77" s="6">
        <v>-198</v>
      </c>
      <c r="P77" s="6">
        <v>-159</v>
      </c>
      <c r="Q77" s="6">
        <v>143</v>
      </c>
      <c r="R77" s="6">
        <v>0</v>
      </c>
      <c r="S77" s="6">
        <f t="shared" ref="S77:AA77" si="81">R77*(1+S27)</f>
        <v>0</v>
      </c>
      <c r="T77" s="6">
        <f t="shared" si="81"/>
        <v>0</v>
      </c>
      <c r="U77" s="6">
        <f t="shared" si="81"/>
        <v>0</v>
      </c>
      <c r="V77" s="6">
        <f t="shared" si="81"/>
        <v>0</v>
      </c>
      <c r="W77" s="6">
        <f t="shared" si="81"/>
        <v>0</v>
      </c>
      <c r="X77" s="6">
        <f t="shared" si="81"/>
        <v>0</v>
      </c>
      <c r="Y77" s="6">
        <f t="shared" si="81"/>
        <v>0</v>
      </c>
      <c r="Z77" s="6">
        <f t="shared" si="81"/>
        <v>0</v>
      </c>
      <c r="AA77" s="6">
        <f t="shared" si="81"/>
        <v>0</v>
      </c>
      <c r="AC77" s="19"/>
    </row>
    <row r="78" spans="2:29" x14ac:dyDescent="0.2">
      <c r="B78" s="6" t="s">
        <v>39</v>
      </c>
      <c r="O78" s="6">
        <v>-94</v>
      </c>
      <c r="P78" s="6">
        <v>-818</v>
      </c>
      <c r="Q78" s="6">
        <v>-616</v>
      </c>
      <c r="R78" s="6">
        <f t="shared" ref="R78:AA78" si="82">Q78*(1+R27)</f>
        <v>-676.01023017902821</v>
      </c>
      <c r="S78" s="6">
        <f t="shared" si="82"/>
        <v>-723.33094629156028</v>
      </c>
      <c r="T78" s="6">
        <f t="shared" si="82"/>
        <v>-773.96411253196959</v>
      </c>
      <c r="U78" s="6">
        <f t="shared" si="82"/>
        <v>-828.14160040920751</v>
      </c>
      <c r="V78" s="6">
        <f t="shared" si="82"/>
        <v>-886.11151243785207</v>
      </c>
      <c r="W78" s="6">
        <f t="shared" si="82"/>
        <v>-948.13931830850174</v>
      </c>
      <c r="X78" s="6">
        <f t="shared" si="82"/>
        <v>-1014.5090705900969</v>
      </c>
      <c r="Y78" s="6">
        <f t="shared" si="82"/>
        <v>-1085.5247055314037</v>
      </c>
      <c r="Z78" s="6">
        <f t="shared" si="82"/>
        <v>-1161.5114349186019</v>
      </c>
      <c r="AA78" s="6">
        <f t="shared" si="82"/>
        <v>-1242.8172353629041</v>
      </c>
      <c r="AC78" s="19"/>
    </row>
    <row r="79" spans="2:29" x14ac:dyDescent="0.2">
      <c r="B79" s="6" t="s">
        <v>76</v>
      </c>
      <c r="O79" s="6">
        <v>66</v>
      </c>
      <c r="P79" s="6">
        <v>-49</v>
      </c>
      <c r="Q79" s="6">
        <v>44</v>
      </c>
      <c r="R79" s="6">
        <f t="shared" ref="R79:AA79" si="83">Q79*(1+R27)</f>
        <v>48.286445012787723</v>
      </c>
      <c r="S79" s="6">
        <f t="shared" si="83"/>
        <v>51.666496163682865</v>
      </c>
      <c r="T79" s="6">
        <f t="shared" si="83"/>
        <v>55.283150895140672</v>
      </c>
      <c r="U79" s="6">
        <f t="shared" si="83"/>
        <v>59.152971457800525</v>
      </c>
      <c r="V79" s="6">
        <f t="shared" si="83"/>
        <v>63.293679459846565</v>
      </c>
      <c r="W79" s="6">
        <f t="shared" si="83"/>
        <v>67.724237022035823</v>
      </c>
      <c r="X79" s="6">
        <f t="shared" si="83"/>
        <v>72.464933613578339</v>
      </c>
      <c r="Y79" s="6">
        <f t="shared" si="83"/>
        <v>77.537478966528823</v>
      </c>
      <c r="Z79" s="6">
        <f t="shared" si="83"/>
        <v>82.965102494185842</v>
      </c>
      <c r="AA79" s="6">
        <f t="shared" si="83"/>
        <v>88.772659668778857</v>
      </c>
      <c r="AC79" s="19"/>
    </row>
    <row r="80" spans="2:29" x14ac:dyDescent="0.2">
      <c r="B80" s="6" t="s">
        <v>48</v>
      </c>
      <c r="O80" s="6">
        <v>7</v>
      </c>
      <c r="P80" s="6">
        <v>146</v>
      </c>
      <c r="Q80" s="6">
        <v>196</v>
      </c>
      <c r="R80" s="6">
        <f t="shared" ref="R80:AA80" si="84">Q80*(1+R27)</f>
        <v>215.09416414787259</v>
      </c>
      <c r="S80" s="6">
        <f t="shared" si="84"/>
        <v>230.15075563822367</v>
      </c>
      <c r="T80" s="6">
        <f t="shared" si="84"/>
        <v>246.26130853289933</v>
      </c>
      <c r="U80" s="6">
        <f t="shared" si="84"/>
        <v>263.49960013020228</v>
      </c>
      <c r="V80" s="6">
        <f t="shared" si="84"/>
        <v>281.94457213931645</v>
      </c>
      <c r="W80" s="6">
        <f t="shared" si="84"/>
        <v>301.68069218906862</v>
      </c>
      <c r="X80" s="6">
        <f t="shared" si="84"/>
        <v>322.79834064230346</v>
      </c>
      <c r="Y80" s="6">
        <f t="shared" si="84"/>
        <v>345.39422448726469</v>
      </c>
      <c r="Z80" s="6">
        <f t="shared" si="84"/>
        <v>369.57182020137327</v>
      </c>
      <c r="AA80" s="6">
        <f t="shared" si="84"/>
        <v>395.44184761546944</v>
      </c>
    </row>
    <row r="81" spans="1:115" x14ac:dyDescent="0.2">
      <c r="B81" s="6" t="s">
        <v>50</v>
      </c>
      <c r="O81" s="6">
        <v>19</v>
      </c>
      <c r="P81" s="6">
        <v>-11</v>
      </c>
      <c r="Q81" s="6">
        <v>68</v>
      </c>
      <c r="R81" s="6">
        <f t="shared" ref="R81:AA81" si="85">Q81*(1+R27)</f>
        <v>74.624505928853765</v>
      </c>
      <c r="S81" s="6">
        <f t="shared" si="85"/>
        <v>79.848221343873533</v>
      </c>
      <c r="T81" s="6">
        <f t="shared" si="85"/>
        <v>85.437596837944682</v>
      </c>
      <c r="U81" s="6">
        <f t="shared" si="85"/>
        <v>91.418228616600814</v>
      </c>
      <c r="V81" s="6">
        <f t="shared" si="85"/>
        <v>97.817504619762872</v>
      </c>
      <c r="W81" s="6">
        <f t="shared" si="85"/>
        <v>104.66472994314628</v>
      </c>
      <c r="X81" s="6">
        <f t="shared" si="85"/>
        <v>111.99126103916653</v>
      </c>
      <c r="Y81" s="6">
        <f t="shared" si="85"/>
        <v>119.83064931190819</v>
      </c>
      <c r="Z81" s="6">
        <f t="shared" si="85"/>
        <v>128.21879476374178</v>
      </c>
      <c r="AA81" s="6">
        <f t="shared" si="85"/>
        <v>137.19411039720373</v>
      </c>
    </row>
    <row r="82" spans="1:115" x14ac:dyDescent="0.2">
      <c r="B82" s="6" t="s">
        <v>77</v>
      </c>
      <c r="O82" s="6">
        <v>536</v>
      </c>
      <c r="P82" s="6">
        <v>536</v>
      </c>
      <c r="Q82" s="6">
        <v>309</v>
      </c>
      <c r="R82" s="6">
        <v>0</v>
      </c>
      <c r="S82" s="6">
        <f t="shared" ref="S82:AA82" si="86">R82*(1+S27)</f>
        <v>0</v>
      </c>
      <c r="T82" s="6">
        <f t="shared" si="86"/>
        <v>0</v>
      </c>
      <c r="U82" s="6">
        <f t="shared" si="86"/>
        <v>0</v>
      </c>
      <c r="V82" s="6">
        <f t="shared" si="86"/>
        <v>0</v>
      </c>
      <c r="W82" s="6">
        <f t="shared" si="86"/>
        <v>0</v>
      </c>
      <c r="X82" s="6">
        <f t="shared" si="86"/>
        <v>0</v>
      </c>
      <c r="Y82" s="6">
        <f t="shared" si="86"/>
        <v>0</v>
      </c>
      <c r="Z82" s="6">
        <f t="shared" si="86"/>
        <v>0</v>
      </c>
      <c r="AA82" s="6">
        <f t="shared" si="86"/>
        <v>0</v>
      </c>
    </row>
    <row r="83" spans="1:115" s="10" customFormat="1" x14ac:dyDescent="0.2">
      <c r="A83" s="6"/>
      <c r="B83" s="10" t="s">
        <v>25</v>
      </c>
      <c r="C83" s="1"/>
      <c r="D83" s="1"/>
      <c r="E83" s="1"/>
      <c r="F83" s="1"/>
      <c r="H83" s="1"/>
      <c r="I83" s="1"/>
      <c r="J83" s="1"/>
      <c r="K83" s="1"/>
      <c r="O83" s="10">
        <f>SUM(O69:O82)</f>
        <v>7838</v>
      </c>
      <c r="P83" s="10">
        <f t="shared" ref="P83:Q83" si="87">SUM(P69:P82)</f>
        <v>7302</v>
      </c>
      <c r="Q83" s="10">
        <f t="shared" si="87"/>
        <v>8056</v>
      </c>
      <c r="R83" s="10">
        <f>SUM(R68:R82)</f>
        <v>9542.5354786053977</v>
      </c>
      <c r="S83" s="10">
        <f t="shared" ref="S83:V83" si="88">SUM(S68:S82)</f>
        <v>10240.90647017057</v>
      </c>
      <c r="T83" s="10">
        <f t="shared" si="88"/>
        <v>11080.959361439791</v>
      </c>
      <c r="U83" s="10">
        <f t="shared" si="88"/>
        <v>11981.761807981782</v>
      </c>
      <c r="V83" s="10">
        <f t="shared" si="88"/>
        <v>12947.701637697293</v>
      </c>
      <c r="W83" s="10">
        <f t="shared" ref="W83:AA83" si="89">SUM(W68:W82)</f>
        <v>13983.495416551668</v>
      </c>
      <c r="X83" s="10">
        <f t="shared" si="89"/>
        <v>15382.384029426566</v>
      </c>
      <c r="Y83" s="10">
        <f t="shared" si="89"/>
        <v>16903.897899110423</v>
      </c>
      <c r="Z83" s="10">
        <f t="shared" si="89"/>
        <v>18558.323614146397</v>
      </c>
      <c r="AA83" s="10">
        <f t="shared" si="89"/>
        <v>20356.801351954764</v>
      </c>
    </row>
    <row r="84" spans="1:115" x14ac:dyDescent="0.2">
      <c r="B84" s="6" t="s">
        <v>79</v>
      </c>
      <c r="O84" s="6">
        <v>-909</v>
      </c>
      <c r="P84" s="6">
        <v>0</v>
      </c>
      <c r="Q84" s="6">
        <v>-59</v>
      </c>
      <c r="AC84" s="6" t="s">
        <v>29</v>
      </c>
      <c r="AD84" s="15">
        <v>0.02</v>
      </c>
    </row>
    <row r="85" spans="1:115" x14ac:dyDescent="0.2">
      <c r="B85" s="6" t="s">
        <v>78</v>
      </c>
      <c r="O85" s="6">
        <v>683</v>
      </c>
      <c r="P85" s="6">
        <v>965</v>
      </c>
      <c r="Q85" s="6">
        <v>486</v>
      </c>
      <c r="AC85" s="6" t="s">
        <v>30</v>
      </c>
      <c r="AD85" s="15">
        <v>0.01</v>
      </c>
    </row>
    <row r="86" spans="1:115" x14ac:dyDescent="0.2">
      <c r="B86" s="6" t="s">
        <v>80</v>
      </c>
      <c r="O86" s="6">
        <v>270</v>
      </c>
      <c r="P86" s="6">
        <v>223</v>
      </c>
      <c r="Q86" s="6">
        <v>11</v>
      </c>
      <c r="AC86" s="6" t="s">
        <v>31</v>
      </c>
      <c r="AD86" s="11">
        <v>8.5000000000000006E-2</v>
      </c>
    </row>
    <row r="87" spans="1:115" x14ac:dyDescent="0.2">
      <c r="B87" s="6" t="s">
        <v>81</v>
      </c>
      <c r="O87" s="6">
        <v>-126</v>
      </c>
      <c r="P87" s="6">
        <v>0</v>
      </c>
      <c r="Q87" s="6">
        <v>0</v>
      </c>
      <c r="Y87" s="9"/>
      <c r="AC87" s="6" t="s">
        <v>32</v>
      </c>
      <c r="AD87" s="10">
        <f>NPV(AD86,R92:DK92)+Main!O5-Main!O6</f>
        <v>200638.02343928869</v>
      </c>
    </row>
    <row r="88" spans="1:115" x14ac:dyDescent="0.2">
      <c r="B88" s="6" t="s">
        <v>82</v>
      </c>
      <c r="O88" s="6">
        <v>-442</v>
      </c>
      <c r="P88" s="6">
        <v>-360</v>
      </c>
      <c r="Q88" s="6">
        <v>-183</v>
      </c>
      <c r="Y88" s="9"/>
      <c r="AC88" s="6" t="s">
        <v>0</v>
      </c>
      <c r="AD88" s="9">
        <f>AD87/Main!O3</f>
        <v>472.97978179936041</v>
      </c>
    </row>
    <row r="89" spans="1:115" x14ac:dyDescent="0.2">
      <c r="B89" s="6" t="s">
        <v>83</v>
      </c>
      <c r="O89" s="6">
        <v>-46</v>
      </c>
      <c r="P89" s="6">
        <v>-53</v>
      </c>
      <c r="Q89" s="6">
        <v>-108</v>
      </c>
      <c r="AC89" s="6" t="s">
        <v>33</v>
      </c>
      <c r="AD89" s="14">
        <f>AD88/Main!O2-1</f>
        <v>0.26974438066942397</v>
      </c>
    </row>
    <row r="90" spans="1:115" x14ac:dyDescent="0.2">
      <c r="B90" s="6" t="s">
        <v>84</v>
      </c>
      <c r="O90" s="6">
        <v>0</v>
      </c>
      <c r="P90" s="6">
        <v>1</v>
      </c>
      <c r="Q90" s="6">
        <v>2</v>
      </c>
    </row>
    <row r="91" spans="1:115" s="10" customFormat="1" x14ac:dyDescent="0.2">
      <c r="A91" s="6"/>
      <c r="B91" s="10" t="s">
        <v>85</v>
      </c>
      <c r="C91" s="1"/>
      <c r="D91" s="1"/>
      <c r="E91" s="1"/>
      <c r="F91" s="1"/>
      <c r="H91" s="1"/>
      <c r="I91" s="1"/>
      <c r="J91" s="1"/>
      <c r="K91" s="1"/>
      <c r="O91" s="10">
        <f>O88+O87</f>
        <v>-568</v>
      </c>
      <c r="P91" s="10">
        <f t="shared" ref="P91:Q91" si="90">P88+P87</f>
        <v>-360</v>
      </c>
      <c r="Q91" s="10">
        <f t="shared" si="90"/>
        <v>-183</v>
      </c>
      <c r="R91" s="10">
        <v>-300</v>
      </c>
      <c r="S91" s="10">
        <f t="shared" ref="S91:AA91" si="91">R91*(1+S27)</f>
        <v>-321</v>
      </c>
      <c r="T91" s="10">
        <f t="shared" si="91"/>
        <v>-343.47</v>
      </c>
      <c r="U91" s="10">
        <f t="shared" si="91"/>
        <v>-367.51290000000006</v>
      </c>
      <c r="V91" s="10">
        <f t="shared" si="91"/>
        <v>-393.23880300000008</v>
      </c>
      <c r="W91" s="10">
        <f t="shared" si="91"/>
        <v>-420.76551921000009</v>
      </c>
      <c r="X91" s="10">
        <f t="shared" si="91"/>
        <v>-450.21910555470015</v>
      </c>
      <c r="Y91" s="10">
        <f t="shared" si="91"/>
        <v>-481.73444294352919</v>
      </c>
      <c r="Z91" s="10">
        <f t="shared" si="91"/>
        <v>-515.45585394957629</v>
      </c>
      <c r="AA91" s="10">
        <f t="shared" si="91"/>
        <v>-551.53776372604671</v>
      </c>
    </row>
    <row r="92" spans="1:115" s="10" customFormat="1" x14ac:dyDescent="0.2">
      <c r="A92" s="6"/>
      <c r="B92" s="10" t="s">
        <v>26</v>
      </c>
      <c r="C92" s="1"/>
      <c r="D92" s="1"/>
      <c r="E92" s="1"/>
      <c r="F92" s="1"/>
      <c r="H92" s="1"/>
      <c r="I92" s="1"/>
      <c r="J92" s="1"/>
      <c r="K92" s="1"/>
      <c r="O92" s="10">
        <f>O83+O91</f>
        <v>7270</v>
      </c>
      <c r="P92" s="10">
        <f t="shared" ref="P92:V92" si="92">P83+P91</f>
        <v>6942</v>
      </c>
      <c r="Q92" s="10">
        <f t="shared" si="92"/>
        <v>7873</v>
      </c>
      <c r="R92" s="10">
        <f t="shared" si="92"/>
        <v>9242.5354786053977</v>
      </c>
      <c r="S92" s="10">
        <f t="shared" si="92"/>
        <v>9919.9064701705702</v>
      </c>
      <c r="T92" s="10">
        <f t="shared" si="92"/>
        <v>10737.489361439792</v>
      </c>
      <c r="U92" s="10">
        <f t="shared" si="92"/>
        <v>11614.248907981782</v>
      </c>
      <c r="V92" s="10">
        <f t="shared" si="92"/>
        <v>12554.462834697293</v>
      </c>
      <c r="W92" s="10">
        <f t="shared" ref="W92:AA92" si="93">W83+W91</f>
        <v>13562.729897341669</v>
      </c>
      <c r="X92" s="10">
        <f t="shared" si="93"/>
        <v>14932.164923871866</v>
      </c>
      <c r="Y92" s="10">
        <f t="shared" si="93"/>
        <v>16422.163456166894</v>
      </c>
      <c r="Z92" s="10">
        <f t="shared" si="93"/>
        <v>18042.867760196819</v>
      </c>
      <c r="AA92" s="10">
        <f t="shared" si="93"/>
        <v>19805.263588228718</v>
      </c>
      <c r="AB92" s="10">
        <f t="shared" ref="AB92:BG92" si="94">AA92*(1+$AD$85)</f>
        <v>20003.316224111004</v>
      </c>
      <c r="AC92" s="10">
        <f t="shared" si="94"/>
        <v>20203.349386352114</v>
      </c>
      <c r="AD92" s="10">
        <f t="shared" si="94"/>
        <v>20405.382880215635</v>
      </c>
      <c r="AE92" s="10">
        <f t="shared" si="94"/>
        <v>20609.436709017791</v>
      </c>
      <c r="AF92" s="10">
        <f t="shared" si="94"/>
        <v>20815.531076107971</v>
      </c>
      <c r="AG92" s="10">
        <f t="shared" si="94"/>
        <v>21023.686386869053</v>
      </c>
      <c r="AH92" s="10">
        <f t="shared" si="94"/>
        <v>21233.923250737742</v>
      </c>
      <c r="AI92" s="10">
        <f t="shared" si="94"/>
        <v>21446.262483245118</v>
      </c>
      <c r="AJ92" s="10">
        <f t="shared" si="94"/>
        <v>21660.725108077571</v>
      </c>
      <c r="AK92" s="10">
        <f t="shared" si="94"/>
        <v>21877.332359158347</v>
      </c>
      <c r="AL92" s="10">
        <f t="shared" si="94"/>
        <v>22096.105682749931</v>
      </c>
      <c r="AM92" s="10">
        <f t="shared" si="94"/>
        <v>22317.066739577429</v>
      </c>
      <c r="AN92" s="10">
        <f t="shared" si="94"/>
        <v>22540.237406973203</v>
      </c>
      <c r="AO92" s="10">
        <f t="shared" si="94"/>
        <v>22765.639781042937</v>
      </c>
      <c r="AP92" s="10">
        <f t="shared" si="94"/>
        <v>22993.296178853368</v>
      </c>
      <c r="AQ92" s="10">
        <f t="shared" si="94"/>
        <v>23223.229140641903</v>
      </c>
      <c r="AR92" s="10">
        <f t="shared" si="94"/>
        <v>23455.461432048323</v>
      </c>
      <c r="AS92" s="10">
        <f t="shared" si="94"/>
        <v>23690.016046368808</v>
      </c>
      <c r="AT92" s="10">
        <f t="shared" si="94"/>
        <v>23926.916206832495</v>
      </c>
      <c r="AU92" s="10">
        <f t="shared" si="94"/>
        <v>24166.18536890082</v>
      </c>
      <c r="AV92" s="10">
        <f t="shared" si="94"/>
        <v>24407.847222589829</v>
      </c>
      <c r="AW92" s="10">
        <f t="shared" si="94"/>
        <v>24651.925694815727</v>
      </c>
      <c r="AX92" s="10">
        <f t="shared" si="94"/>
        <v>24898.444951763886</v>
      </c>
      <c r="AY92" s="10">
        <f t="shared" si="94"/>
        <v>25147.429401281526</v>
      </c>
      <c r="AZ92" s="10">
        <f t="shared" si="94"/>
        <v>25398.903695294342</v>
      </c>
      <c r="BA92" s="10">
        <f t="shared" si="94"/>
        <v>25652.892732247285</v>
      </c>
      <c r="BB92" s="10">
        <f t="shared" si="94"/>
        <v>25909.421659569758</v>
      </c>
      <c r="BC92" s="10">
        <f t="shared" si="94"/>
        <v>26168.515876165457</v>
      </c>
      <c r="BD92" s="10">
        <f t="shared" si="94"/>
        <v>26430.201034927111</v>
      </c>
      <c r="BE92" s="10">
        <f t="shared" si="94"/>
        <v>26694.503045276382</v>
      </c>
      <c r="BF92" s="10">
        <f t="shared" si="94"/>
        <v>26961.448075729146</v>
      </c>
      <c r="BG92" s="10">
        <f t="shared" si="94"/>
        <v>27231.062556486439</v>
      </c>
      <c r="BH92" s="10">
        <f t="shared" ref="BH92:CM92" si="95">BG92*(1+$AD$85)</f>
        <v>27503.373182051302</v>
      </c>
      <c r="BI92" s="10">
        <f t="shared" si="95"/>
        <v>27778.406913871815</v>
      </c>
      <c r="BJ92" s="10">
        <f t="shared" si="95"/>
        <v>28056.190983010532</v>
      </c>
      <c r="BK92" s="10">
        <f t="shared" si="95"/>
        <v>28336.752892840639</v>
      </c>
      <c r="BL92" s="10">
        <f t="shared" si="95"/>
        <v>28620.120421769047</v>
      </c>
      <c r="BM92" s="10">
        <f t="shared" si="95"/>
        <v>28906.321625986737</v>
      </c>
      <c r="BN92" s="10">
        <f t="shared" si="95"/>
        <v>29195.384842246604</v>
      </c>
      <c r="BO92" s="10">
        <f t="shared" si="95"/>
        <v>29487.338690669068</v>
      </c>
      <c r="BP92" s="10">
        <f t="shared" si="95"/>
        <v>29782.212077575761</v>
      </c>
      <c r="BQ92" s="10">
        <f t="shared" si="95"/>
        <v>30080.034198351521</v>
      </c>
      <c r="BR92" s="10">
        <f t="shared" si="95"/>
        <v>30380.834540335036</v>
      </c>
      <c r="BS92" s="10">
        <f t="shared" si="95"/>
        <v>30684.642885738387</v>
      </c>
      <c r="BT92" s="10">
        <f t="shared" si="95"/>
        <v>30991.489314595772</v>
      </c>
      <c r="BU92" s="10">
        <f t="shared" si="95"/>
        <v>31301.404207741729</v>
      </c>
      <c r="BV92" s="10">
        <f t="shared" si="95"/>
        <v>31614.418249819148</v>
      </c>
      <c r="BW92" s="10">
        <f t="shared" si="95"/>
        <v>31930.56243231734</v>
      </c>
      <c r="BX92" s="10">
        <f t="shared" si="95"/>
        <v>32249.868056640513</v>
      </c>
      <c r="BY92" s="10">
        <f t="shared" si="95"/>
        <v>32572.366737206918</v>
      </c>
      <c r="BZ92" s="10">
        <f t="shared" si="95"/>
        <v>32898.090404578987</v>
      </c>
      <c r="CA92" s="10">
        <f t="shared" si="95"/>
        <v>33227.071308624778</v>
      </c>
      <c r="CB92" s="10">
        <f t="shared" si="95"/>
        <v>33559.342021711025</v>
      </c>
      <c r="CC92" s="10">
        <f t="shared" si="95"/>
        <v>33894.935441928137</v>
      </c>
      <c r="CD92" s="10">
        <f t="shared" si="95"/>
        <v>34233.884796347418</v>
      </c>
      <c r="CE92" s="10">
        <f t="shared" si="95"/>
        <v>34576.223644310892</v>
      </c>
      <c r="CF92" s="10">
        <f t="shared" si="95"/>
        <v>34921.985880754</v>
      </c>
      <c r="CG92" s="10">
        <f t="shared" si="95"/>
        <v>35271.205739561541</v>
      </c>
      <c r="CH92" s="10">
        <f t="shared" si="95"/>
        <v>35623.917796957154</v>
      </c>
      <c r="CI92" s="10">
        <f t="shared" si="95"/>
        <v>35980.156974926729</v>
      </c>
      <c r="CJ92" s="10">
        <f t="shared" si="95"/>
        <v>36339.958544675996</v>
      </c>
      <c r="CK92" s="10">
        <f t="shared" si="95"/>
        <v>36703.358130122753</v>
      </c>
      <c r="CL92" s="10">
        <f t="shared" si="95"/>
        <v>37070.391711423981</v>
      </c>
      <c r="CM92" s="10">
        <f t="shared" si="95"/>
        <v>37441.09562853822</v>
      </c>
      <c r="CN92" s="10">
        <f t="shared" ref="CN92:DK92" si="96">CM92*(1+$AD$85)</f>
        <v>37815.506584823604</v>
      </c>
      <c r="CO92" s="10">
        <f t="shared" si="96"/>
        <v>38193.661650671842</v>
      </c>
      <c r="CP92" s="10">
        <f t="shared" si="96"/>
        <v>38575.59826717856</v>
      </c>
      <c r="CQ92" s="10">
        <f t="shared" si="96"/>
        <v>38961.354249850345</v>
      </c>
      <c r="CR92" s="10">
        <f t="shared" si="96"/>
        <v>39350.967792348849</v>
      </c>
      <c r="CS92" s="10">
        <f t="shared" si="96"/>
        <v>39744.477470272337</v>
      </c>
      <c r="CT92" s="10">
        <f t="shared" si="96"/>
        <v>40141.92224497506</v>
      </c>
      <c r="CU92" s="10">
        <f t="shared" si="96"/>
        <v>40543.341467424812</v>
      </c>
      <c r="CV92" s="10">
        <f t="shared" si="96"/>
        <v>40948.77488209906</v>
      </c>
      <c r="CW92" s="10">
        <f t="shared" si="96"/>
        <v>41358.26263092005</v>
      </c>
      <c r="CX92" s="10">
        <f t="shared" si="96"/>
        <v>41771.845257229252</v>
      </c>
      <c r="CY92" s="10">
        <f t="shared" si="96"/>
        <v>42189.563709801543</v>
      </c>
      <c r="CZ92" s="10">
        <f t="shared" si="96"/>
        <v>42611.459346899559</v>
      </c>
      <c r="DA92" s="10">
        <f t="shared" si="96"/>
        <v>43037.573940368558</v>
      </c>
      <c r="DB92" s="10">
        <f t="shared" si="96"/>
        <v>43467.949679772246</v>
      </c>
      <c r="DC92" s="10">
        <f t="shared" si="96"/>
        <v>43902.629176569972</v>
      </c>
      <c r="DD92" s="10">
        <f t="shared" si="96"/>
        <v>44341.655468335674</v>
      </c>
      <c r="DE92" s="10">
        <f t="shared" si="96"/>
        <v>44785.072023019027</v>
      </c>
      <c r="DF92" s="10">
        <f t="shared" si="96"/>
        <v>45232.922743249219</v>
      </c>
      <c r="DG92" s="10">
        <f t="shared" si="96"/>
        <v>45685.251970681711</v>
      </c>
      <c r="DH92" s="10">
        <f t="shared" si="96"/>
        <v>46142.104490388527</v>
      </c>
      <c r="DI92" s="10">
        <f t="shared" si="96"/>
        <v>46603.525535292414</v>
      </c>
      <c r="DJ92" s="10">
        <f t="shared" si="96"/>
        <v>47069.560790645337</v>
      </c>
      <c r="DK92" s="10">
        <f t="shared" si="96"/>
        <v>47540.256398551792</v>
      </c>
    </row>
    <row r="93" spans="1:115" x14ac:dyDescent="0.2">
      <c r="O93" s="14"/>
      <c r="P93" s="14"/>
      <c r="Q93" s="14"/>
    </row>
    <row r="94" spans="1:115" x14ac:dyDescent="0.2">
      <c r="Q94" s="14"/>
      <c r="R94" s="14"/>
      <c r="S94" s="14"/>
      <c r="T94" s="14"/>
      <c r="U94" s="14"/>
      <c r="V94" s="14"/>
      <c r="W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D9"/>
  <sheetViews>
    <sheetView zoomScale="130" zoomScaleNormal="130" workbookViewId="0">
      <selection activeCell="A2" sqref="A2"/>
    </sheetView>
  </sheetViews>
  <sheetFormatPr defaultRowHeight="12.75" x14ac:dyDescent="0.2"/>
  <cols>
    <col min="1" max="1" width="5" style="20" bestFit="1" customWidth="1"/>
    <col min="2" max="16384" width="9.140625" style="20"/>
  </cols>
  <sheetData>
    <row r="1" spans="1:4" ht="15" x14ac:dyDescent="0.25">
      <c r="A1" s="22" t="s">
        <v>59</v>
      </c>
    </row>
    <row r="2" spans="1:4" x14ac:dyDescent="0.2">
      <c r="B2" s="21" t="s">
        <v>92</v>
      </c>
    </row>
    <row r="3" spans="1:4" x14ac:dyDescent="0.2">
      <c r="B3" s="20" t="s">
        <v>94</v>
      </c>
      <c r="D3" s="20" t="s">
        <v>96</v>
      </c>
    </row>
    <row r="4" spans="1:4" x14ac:dyDescent="0.2">
      <c r="B4" s="1" t="s">
        <v>93</v>
      </c>
      <c r="D4" s="20" t="s">
        <v>97</v>
      </c>
    </row>
    <row r="5" spans="1:4" x14ac:dyDescent="0.2">
      <c r="B5" s="20" t="s">
        <v>98</v>
      </c>
    </row>
    <row r="7" spans="1:4" x14ac:dyDescent="0.2">
      <c r="B7" s="21" t="s">
        <v>95</v>
      </c>
    </row>
    <row r="8" spans="1:4" x14ac:dyDescent="0.2">
      <c r="B8" s="20" t="s">
        <v>99</v>
      </c>
    </row>
    <row r="9" spans="1:4" x14ac:dyDescent="0.2">
      <c r="B9" s="20" t="s">
        <v>100</v>
      </c>
    </row>
  </sheetData>
  <hyperlinks>
    <hyperlink ref="A1" location="Main!A1" display="Main" xr:uid="{57CC344B-77FC-4721-A491-E9AD202E5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2025-07-28T07:54:55Z</dcterms:modified>
</cp:coreProperties>
</file>