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903B829-9835-4A2C-9882-9B5C7F3CF619}" xr6:coauthVersionLast="47" xr6:coauthVersionMax="47" xr10:uidLastSave="{00000000-0000-0000-0000-000000000000}"/>
  <bookViews>
    <workbookView xWindow="4425" yWindow="645" windowWidth="22935" windowHeight="13935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2" l="1"/>
  <c r="X97" i="2" s="1"/>
  <c r="Y97" i="2" s="1"/>
  <c r="V97" i="2"/>
  <c r="V43" i="2"/>
  <c r="W43" i="2" s="1"/>
  <c r="X43" i="2" s="1"/>
  <c r="Y43" i="2" s="1"/>
  <c r="U43" i="2"/>
  <c r="V10" i="2"/>
  <c r="W10" i="2"/>
  <c r="X10" i="2"/>
  <c r="Y10" i="2" s="1"/>
  <c r="V25" i="2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102" i="2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N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N4" i="1"/>
  <c r="N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<sst xmlns="http://schemas.openxmlformats.org/spreadsheetml/2006/main" count="132" uniqueCount="118">
  <si>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</si>
  <si>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</si>
  <si>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</si>
  <si>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</si>
  <si>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</si>
  <si>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</si>
  <si>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</si>
  <si>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</si>
  <si>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</si>
  <si>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</si>
  <si>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</si>
  <si>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</si>
  <si>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</si>
  <si>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</si>
  <si>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</si>
  <si>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</si>
  <si>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</si>
  <si>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</si>
  <si>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</si>
  <si>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</si>
  <si>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</si>
  <si>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</si>
  <si>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</si>
  <si>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</si>
  <si>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</si>
  <si>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</si>
  <si>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</si>
  <si>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</si>
  <si>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</si>
  <si>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</si>
  <si>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</si>
  <si>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</si>
  <si>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</si>
  <si>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</si>
  <si>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</si>
  <si>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</si>
  <si>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</si>
  <si>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</si>
  <si>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</si>
  <si>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</si>
  <si>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</si>
  <si>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</si>
  <si>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</si>
  <si>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</si>
  <si>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</si>
  <si>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</si>
  <si>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</si>
  <si>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</si>
  <si>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</si>
  <si>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</si>
  <si>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</si>
  <si>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</si>
  <si>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</si>
  <si>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</si>
  <si>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</si>
  <si>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</si>
  <si>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</si>
  <si>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</si>
  <si>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</si>
  <si>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</si>
  <si>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</si>
  <si>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</si>
  <si>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</si>
  <si>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</si>
  <si>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</si>
  <si>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</si>
  <si>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</si>
  <si>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</si>
  <si>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</si>
  <si>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</si>
  <si>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</si>
  <si>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</si>
  <si>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</si>
  <si>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</si>
  <si>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</si>
  <si>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</si>
  <si>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</si>
  <si>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</si>
  <si>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</si>
  <si>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</si>
  <si>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</si>
  <si>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</si>
  <si>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</si>
  <si>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</si>
  <si>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</si>
  <si>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</si>
  <si>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</si>
  <si>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</si>
  <si>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</si>
  <si>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</si>
  <si>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</si>
  <si>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</si>
  <si>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</si>
  <si>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</si>
  <si>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</si>
  <si>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</si>
  <si>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</si>
  <si>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</si>
  <si>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</si>
  <si>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</si>
  <si>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</si>
  <si>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</si>
  <si>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</si>
  <si>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</si>
  <si>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</si>
  <si>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</si>
  <si>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</si>
  <si>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</si>
  <si>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</si>
  <si>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</si>
  <si>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</si>
  <si>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</si>
  <si>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</si>
  <si>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</si>
  <si>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</si>
  <si>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 xml:space="preserve"> </t>
  </si>
  <si>
    <t>Questions</t>
  </si>
  <si>
    <t>How will LLMs affect Google traffic and ad monetization?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</si>
</sst>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4" fontId="2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10" fontId="2" fillId="0" borderId="0" xfId="0" applyNumberFormat="1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O15"/>
  <sheetViews>
    <sheetView tabSelected="1" zoomScale="115" zoomScaleNormal="115" workbookViewId="0">
      <selection activeCell="L12" sqref="L12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5" x14ac:dyDescent="0.2">
      <c r="A1" s="10"/>
    </row>
    <row r="2" spans="1:15" x14ac:dyDescent="0.2">
      <c r="B2" s="11" t="s">
        <v>105</v>
      </c>
      <c r="M2" s="11" t="s">
        <v>0</v>
      </c>
      <c r="N2" s="1">
        <v>180.19</v>
      </c>
    </row>
    <row r="3" spans="1:15" x14ac:dyDescent="0.2">
      <c r="B3" s="11" t="s">
        <v>90</v>
      </c>
      <c r="M3" s="11" t="s">
        <v>1</v>
      </c>
      <c r="N3" s="1">
        <v>12250</v>
      </c>
      <c r="O3" s="11" t="s">
        <v>24</v>
      </c>
    </row>
    <row r="4" spans="1:15" x14ac:dyDescent="0.2">
      <c r="B4" s="11" t="s">
        <v>93</v>
      </c>
      <c r="M4" s="11" t="s">
        <v>2</v>
      </c>
      <c r="N4" s="1">
        <f>N3*N2</f>
        <v>2207327.5</v>
      </c>
    </row>
    <row r="5" spans="1:15" x14ac:dyDescent="0.2">
      <c r="B5" s="1" t="s">
        <v>94</v>
      </c>
      <c r="M5" s="11" t="s">
        <v>3</v>
      </c>
      <c r="N5" s="1">
        <f>23466+72191</f>
        <v>95657</v>
      </c>
      <c r="O5" s="11" t="s">
        <v>24</v>
      </c>
    </row>
    <row r="6" spans="1:15" x14ac:dyDescent="0.2">
      <c r="B6" s="11" t="s">
        <v>108</v>
      </c>
      <c r="M6" s="11" t="s">
        <v>4</v>
      </c>
      <c r="N6" s="1">
        <v>10883</v>
      </c>
      <c r="O6" s="11" t="s">
        <v>24</v>
      </c>
    </row>
    <row r="7" spans="1:15" x14ac:dyDescent="0.2">
      <c r="B7" s="11" t="s">
        <v>112</v>
      </c>
      <c r="M7" s="11" t="s">
        <v>5</v>
      </c>
      <c r="N7" s="1">
        <f>N4+N6-N5</f>
        <v>2122553.5</v>
      </c>
    </row>
    <row r="8" spans="1:15" x14ac:dyDescent="0.2">
      <c r="B8" s="11" t="s">
        <v>114</v>
      </c>
    </row>
    <row r="10" spans="1:15" x14ac:dyDescent="0.2">
      <c r="B10" s="11" t="s">
        <v>95</v>
      </c>
      <c r="L10" s="14" t="s">
        <v>116</v>
      </c>
    </row>
    <row r="11" spans="1:15" x14ac:dyDescent="0.2">
      <c r="B11" s="12"/>
      <c r="L11" s="13" t="s">
        <v>117</v>
      </c>
    </row>
    <row r="12" spans="1:15" x14ac:dyDescent="0.2">
      <c r="B12" s="12" t="s">
        <v>109</v>
      </c>
    </row>
    <row r="13" spans="1:15" x14ac:dyDescent="0.2">
      <c r="B13" s="4" t="s">
        <v>110</v>
      </c>
    </row>
    <row r="14" spans="1:15" x14ac:dyDescent="0.2">
      <c r="B14" s="4" t="s">
        <v>111</v>
      </c>
      <c r="C14" s="4"/>
    </row>
    <row r="15" spans="1:15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zoomScale="130" zoomScaleNormal="13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6" sqref="N6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38</v>
      </c>
      <c r="C1" s="1" t="s">
        <v>39</v>
      </c>
      <c r="D1" s="1" t="s">
        <v>40</v>
      </c>
      <c r="E1" s="1" t="s">
        <v>41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91</v>
      </c>
      <c r="M1" s="1" t="s">
        <v>92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ref="Z1" si="1">Y1+1</f>
        <v>2030</v>
      </c>
      <c r="AA1" s="2">
        <f t="shared" ref="AA1" si="2">Z1+1</f>
        <v>2031</v>
      </c>
      <c r="AB1" s="2">
        <f t="shared" ref="AB1" si="3">AA1+1</f>
        <v>2032</v>
      </c>
      <c r="AC1" s="2">
        <f t="shared" ref="AC1" si="4">AB1+1</f>
        <v>2033</v>
      </c>
      <c r="AD1" s="2">
        <f t="shared" ref="AD1" si="5">AC1+1</f>
        <v>2034</v>
      </c>
    </row>
    <row r="2" spans="1:30" x14ac:dyDescent="0.2">
      <c r="A2" s="1" t="s">
        <v>100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1" t="s">
        <v>101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x14ac:dyDescent="0.2">
      <c r="A4" s="1" t="s">
        <v>102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/>
      <c r="Q4" s="2"/>
      <c r="R4" s="2"/>
      <c r="S4" s="2"/>
      <c r="T4" s="2"/>
      <c r="U4" s="2"/>
      <c r="V4" s="2"/>
      <c r="W4" s="2"/>
      <c r="X4" s="2"/>
      <c r="Y4" s="2"/>
    </row>
    <row r="5" spans="1:30" x14ac:dyDescent="0.2">
      <c r="A5" s="1" t="s">
        <v>96</v>
      </c>
      <c r="B5" s="3"/>
      <c r="D5" s="3"/>
      <c r="E5" s="1">
        <v>26730</v>
      </c>
      <c r="F5" s="3"/>
      <c r="I5" s="1">
        <v>32826</v>
      </c>
      <c r="J5" s="3"/>
      <c r="O5" s="5"/>
      <c r="P5" s="6"/>
      <c r="R5" s="4"/>
      <c r="S5" s="2"/>
      <c r="T5" s="2"/>
      <c r="U5" s="2"/>
      <c r="V5" s="2"/>
      <c r="W5" s="2"/>
      <c r="X5" s="2"/>
      <c r="Y5" s="2"/>
    </row>
    <row r="6" spans="1:30" x14ac:dyDescent="0.2">
      <c r="A6" s="1" t="s">
        <v>97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/>
      <c r="P6" s="6"/>
      <c r="R6" s="2"/>
      <c r="S6" s="2"/>
      <c r="T6" s="2"/>
      <c r="U6" s="2"/>
      <c r="V6" s="2"/>
      <c r="W6" s="2"/>
      <c r="X6" s="2"/>
      <c r="Y6" s="2"/>
    </row>
    <row r="7" spans="1:30" x14ac:dyDescent="0.2">
      <c r="A7" s="1" t="s">
        <v>98</v>
      </c>
      <c r="B7" s="3"/>
      <c r="D7" s="3"/>
      <c r="E7" s="1">
        <v>-863</v>
      </c>
      <c r="F7" s="3"/>
      <c r="I7" s="1">
        <v>-1174</v>
      </c>
      <c r="O7" s="3"/>
      <c r="P7" s="6"/>
      <c r="R7" s="2"/>
      <c r="S7" s="2"/>
      <c r="T7" s="2"/>
      <c r="U7" s="2"/>
      <c r="V7" s="2"/>
      <c r="W7" s="2"/>
      <c r="X7" s="2"/>
      <c r="Y7" s="2"/>
    </row>
    <row r="8" spans="1:30" x14ac:dyDescent="0.2">
      <c r="A8" s="1" t="s">
        <v>99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x14ac:dyDescent="0.2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x14ac:dyDescent="0.2">
      <c r="A10" s="1" t="s">
        <v>113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6">U10*0.98</f>
        <v>0.2646</v>
      </c>
      <c r="W10" s="8">
        <f t="shared" si="6"/>
        <v>0.25930799999999998</v>
      </c>
      <c r="X10" s="8">
        <f t="shared" si="6"/>
        <v>0.25412183999999999</v>
      </c>
      <c r="Y10" s="8">
        <f t="shared" si="6"/>
        <v>0.24903940319999998</v>
      </c>
    </row>
    <row r="11" spans="1:30" x14ac:dyDescent="0.2">
      <c r="A11" s="1" t="s">
        <v>87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7">V10*V15</f>
        <v>64565.842545090381</v>
      </c>
      <c r="W11" s="1">
        <f t="shared" si="7"/>
        <v>70234.72352054932</v>
      </c>
      <c r="X11" s="1">
        <f t="shared" si="7"/>
        <v>76401.332245653553</v>
      </c>
      <c r="Y11" s="1">
        <f t="shared" si="7"/>
        <v>83109.369216821942</v>
      </c>
    </row>
    <row r="12" spans="1:30" x14ac:dyDescent="0.2">
      <c r="A12" s="1" t="s">
        <v>88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115</v>
      </c>
      <c r="T12" s="1">
        <v>183323</v>
      </c>
      <c r="U12" s="4"/>
      <c r="V12" s="4"/>
      <c r="W12" s="4"/>
      <c r="X12" s="4"/>
      <c r="Y12" s="4"/>
    </row>
    <row r="13" spans="1:30" x14ac:dyDescent="0.2">
      <c r="A13" s="1" t="s">
        <v>107</v>
      </c>
      <c r="B13" s="3">
        <f t="shared" ref="B13:J13" si="8">B20+B16</f>
        <v>14147</v>
      </c>
      <c r="C13" s="3">
        <f t="shared" si="8"/>
        <v>15696</v>
      </c>
      <c r="D13" s="3">
        <f t="shared" si="8"/>
        <v>16363</v>
      </c>
      <c r="E13" s="3">
        <f t="shared" si="8"/>
        <v>18392</v>
      </c>
      <c r="F13" s="3">
        <f t="shared" si="8"/>
        <v>17664</v>
      </c>
      <c r="G13" s="3">
        <f t="shared" si="8"/>
        <v>19010</v>
      </c>
      <c r="H13" s="3">
        <f t="shared" si="8"/>
        <v>20274</v>
      </c>
      <c r="I13" s="3">
        <f t="shared" si="8"/>
        <v>22428</v>
      </c>
      <c r="J13" s="3">
        <f t="shared" si="8"/>
        <v>23024.760000000002</v>
      </c>
      <c r="K13" s="3">
        <f t="shared" ref="K13:M13" si="9">K20+K16</f>
        <v>25980.434400000006</v>
      </c>
      <c r="L13" s="3">
        <f t="shared" si="9"/>
        <v>29317.768176000005</v>
      </c>
      <c r="M13" s="3">
        <f t="shared" si="9"/>
        <v>33086.337435840003</v>
      </c>
      <c r="O13" s="2"/>
      <c r="P13" s="2"/>
      <c r="R13" s="1">
        <f t="shared" ref="R13:S13" si="10">R16+R20</f>
        <v>55523</v>
      </c>
      <c r="S13" s="1">
        <f t="shared" si="10"/>
        <v>64598</v>
      </c>
      <c r="T13" s="1">
        <f t="shared" ref="T13:U13" si="11">T16+T20</f>
        <v>79376</v>
      </c>
      <c r="U13" s="1">
        <f t="shared" si="11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32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12">K15*1.06</f>
        <v>56462.720232000007</v>
      </c>
      <c r="M15" s="1">
        <f t="shared" si="12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13">V15*1.11</f>
        <v>270854.44151568529</v>
      </c>
      <c r="X15" s="1">
        <f t="shared" si="13"/>
        <v>300648.43008241069</v>
      </c>
      <c r="Y15" s="1">
        <f t="shared" si="13"/>
        <v>333719.7573914759</v>
      </c>
    </row>
    <row r="16" spans="1:30" x14ac:dyDescent="0.2">
      <c r="A16" s="1" t="s">
        <v>33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14">K16*1.14</f>
        <v>12521.853935999998</v>
      </c>
      <c r="M16" s="1">
        <f t="shared" si="14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5">V16*1.12</f>
        <v>59478.642722021374</v>
      </c>
      <c r="X16" s="1">
        <f t="shared" si="15"/>
        <v>66616.07984866394</v>
      </c>
      <c r="Y16" s="1">
        <f t="shared" si="15"/>
        <v>74610.009430503618</v>
      </c>
    </row>
    <row r="17" spans="1:25" x14ac:dyDescent="0.2">
      <c r="A17" s="1" t="s">
        <v>34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6">K17*1.02</f>
        <v>7613.3142720000005</v>
      </c>
      <c r="M17" s="1">
        <f t="shared" si="16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7">V17*1.01</f>
        <v>30766.836658871747</v>
      </c>
      <c r="X17" s="1">
        <f t="shared" si="17"/>
        <v>31074.505025460465</v>
      </c>
      <c r="Y17" s="1">
        <f t="shared" si="17"/>
        <v>31385.25007571507</v>
      </c>
    </row>
    <row r="18" spans="1:25" x14ac:dyDescent="0.2">
      <c r="A18" s="1" t="s">
        <v>36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8">K18*1.03</f>
        <v>11354.133724000001</v>
      </c>
      <c r="M18" s="1">
        <f t="shared" si="18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9">V18*1.12</f>
        <v>56165.361426592783</v>
      </c>
      <c r="X18" s="1">
        <f t="shared" si="19"/>
        <v>62905.204797783925</v>
      </c>
      <c r="Y18" s="1">
        <f t="shared" si="19"/>
        <v>70453.829373518005</v>
      </c>
    </row>
    <row r="19" spans="1:25" x14ac:dyDescent="0.2">
      <c r="A19" s="1" t="s">
        <v>103</v>
      </c>
      <c r="B19" s="1">
        <f>SUM(B15:B18)</f>
        <v>61961</v>
      </c>
      <c r="C19" s="1">
        <f t="shared" ref="C19:O19" si="20">SUM(C15:C18)</f>
        <v>66285</v>
      </c>
      <c r="D19" s="1">
        <f t="shared" si="20"/>
        <v>67986</v>
      </c>
      <c r="E19" s="1">
        <f t="shared" si="20"/>
        <v>76311</v>
      </c>
      <c r="F19" s="1">
        <f t="shared" si="20"/>
        <v>70398</v>
      </c>
      <c r="G19" s="1">
        <f t="shared" si="20"/>
        <v>73928</v>
      </c>
      <c r="H19" s="1">
        <f t="shared" si="20"/>
        <v>76510</v>
      </c>
      <c r="I19" s="1">
        <f t="shared" si="20"/>
        <v>84094</v>
      </c>
      <c r="J19" s="1">
        <f t="shared" si="20"/>
        <v>77906.819999999992</v>
      </c>
      <c r="K19" s="1">
        <f t="shared" si="20"/>
        <v>82738.26400000001</v>
      </c>
      <c r="L19" s="1">
        <f t="shared" si="20"/>
        <v>87952.022164000009</v>
      </c>
      <c r="M19" s="1">
        <f t="shared" si="20"/>
        <v>93585.735226120014</v>
      </c>
      <c r="O19" s="1">
        <f t="shared" si="20"/>
        <v>161857</v>
      </c>
      <c r="P19" s="1">
        <f t="shared" ref="P19" si="21">SUM(P15:P18)</f>
        <v>182527</v>
      </c>
      <c r="Q19" s="1">
        <f t="shared" ref="Q19" si="22">SUM(Q15:Q18)</f>
        <v>257637</v>
      </c>
      <c r="R19" s="1">
        <f t="shared" ref="R19" si="23">SUM(R15:R18)</f>
        <v>253528</v>
      </c>
      <c r="S19" s="1">
        <f t="shared" ref="S19" si="24">SUM(S15:S18)</f>
        <v>272543</v>
      </c>
      <c r="T19" s="1">
        <f t="shared" ref="T19" si="25">SUM(T15:T18)</f>
        <v>304930</v>
      </c>
      <c r="U19" s="1">
        <f t="shared" ref="U19" si="26">SUM(U15:U18)</f>
        <v>342182.84139011998</v>
      </c>
      <c r="V19" s="1">
        <f t="shared" ref="V19" si="27">SUM(V15:V18)</f>
        <v>377728.80002091685</v>
      </c>
      <c r="W19" s="1">
        <f t="shared" ref="W19" si="28">SUM(W15:W18)</f>
        <v>417265.28232317121</v>
      </c>
      <c r="X19" s="1">
        <f t="shared" ref="X19" si="29">SUM(X15:X18)</f>
        <v>461244.219754319</v>
      </c>
      <c r="Y19" s="1">
        <f t="shared" ref="Y19" si="30">SUM(Y15:Y18)</f>
        <v>510168.84627121262</v>
      </c>
    </row>
    <row r="20" spans="1:25" x14ac:dyDescent="0.2">
      <c r="A20" s="1" t="s">
        <v>35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31">J20*1.12</f>
        <v>14996.352000000004</v>
      </c>
      <c r="L20" s="1">
        <f t="shared" si="31"/>
        <v>16795.914240000006</v>
      </c>
      <c r="M20" s="1">
        <f t="shared" si="31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32">V20*1.2</f>
        <v>92150.33787187202</v>
      </c>
      <c r="X20" s="1">
        <f t="shared" si="32"/>
        <v>110580.40544624643</v>
      </c>
      <c r="Y20" s="1">
        <f t="shared" si="32"/>
        <v>132696.4865354957</v>
      </c>
    </row>
    <row r="21" spans="1:25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33">K21*1.02</f>
        <v>406.38024000000001</v>
      </c>
      <c r="M21" s="1">
        <f t="shared" si="33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34">V21*1.05</f>
        <v>1774.9148434920003</v>
      </c>
      <c r="X21" s="1">
        <f t="shared" si="34"/>
        <v>1863.6605856666004</v>
      </c>
      <c r="Y21" s="1">
        <f t="shared" si="34"/>
        <v>1956.8436149499305</v>
      </c>
    </row>
    <row r="22" spans="1:25" s="3" customFormat="1" x14ac:dyDescent="0.2">
      <c r="A22" s="3" t="s">
        <v>6</v>
      </c>
      <c r="B22" s="3">
        <f>SUM(B19:B21)</f>
        <v>69787</v>
      </c>
      <c r="C22" s="3">
        <f t="shared" ref="C22:Y22" si="35">SUM(C19:C21)</f>
        <v>74604</v>
      </c>
      <c r="D22" s="3">
        <f t="shared" si="35"/>
        <v>76693</v>
      </c>
      <c r="E22" s="3">
        <f t="shared" si="35"/>
        <v>86310</v>
      </c>
      <c r="F22" s="3">
        <f t="shared" si="35"/>
        <v>80539</v>
      </c>
      <c r="G22" s="3">
        <f t="shared" si="35"/>
        <v>84742</v>
      </c>
      <c r="H22" s="3">
        <f t="shared" si="35"/>
        <v>88268</v>
      </c>
      <c r="I22" s="3">
        <f t="shared" si="35"/>
        <v>96469</v>
      </c>
      <c r="J22" s="3">
        <f>SUM(J19:J21)</f>
        <v>91687.02</v>
      </c>
      <c r="K22" s="3">
        <f t="shared" ref="K22:M22" si="36">SUM(K19:K21)</f>
        <v>98133.028000000006</v>
      </c>
      <c r="L22" s="3">
        <f t="shared" si="36"/>
        <v>105154.31664400001</v>
      </c>
      <c r="M22" s="3">
        <f t="shared" si="36"/>
        <v>112811.66701972003</v>
      </c>
      <c r="O22" s="3">
        <f t="shared" si="35"/>
        <v>161857</v>
      </c>
      <c r="P22" s="3">
        <f t="shared" si="35"/>
        <v>182527</v>
      </c>
      <c r="Q22" s="3">
        <f t="shared" si="35"/>
        <v>257637</v>
      </c>
      <c r="R22" s="3">
        <f t="shared" si="35"/>
        <v>282836</v>
      </c>
      <c r="S22" s="3">
        <f t="shared" si="35"/>
        <v>307394</v>
      </c>
      <c r="T22" s="3">
        <f t="shared" si="35"/>
        <v>350018</v>
      </c>
      <c r="U22" s="3">
        <f>SUM(J22:M22)</f>
        <v>407786.03166372003</v>
      </c>
      <c r="V22" s="3">
        <f t="shared" si="35"/>
        <v>456211.14333651686</v>
      </c>
      <c r="W22" s="3">
        <f t="shared" si="35"/>
        <v>511190.53503853519</v>
      </c>
      <c r="X22" s="3">
        <f t="shared" si="35"/>
        <v>573688.2857862321</v>
      </c>
      <c r="Y22" s="3">
        <f t="shared" si="35"/>
        <v>644822.17642165825</v>
      </c>
    </row>
    <row r="23" spans="1:25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7">K22*(1-K43)</f>
        <v>41215.871760000009</v>
      </c>
      <c r="L23" s="1">
        <f t="shared" si="37"/>
        <v>44164.812990480008</v>
      </c>
      <c r="M23" s="1">
        <f t="shared" si="37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185352.06405377053</v>
      </c>
      <c r="W23" s="1">
        <f>W22*(1-W43)</f>
        <v>204654.3934344195</v>
      </c>
      <c r="X23" s="1">
        <f>X22*(1-X43)</f>
        <v>226235.14772864743</v>
      </c>
      <c r="Y23" s="1">
        <f>Y22*(1-Y43)</f>
        <v>250381.59051432519</v>
      </c>
    </row>
    <row r="24" spans="1:25" x14ac:dyDescent="0.2">
      <c r="A24" s="1" t="s">
        <v>8</v>
      </c>
      <c r="B24" s="1">
        <f>B22-B23</f>
        <v>39175</v>
      </c>
      <c r="C24" s="1">
        <f t="shared" ref="C24:M24" si="38">C22-C23</f>
        <v>42688</v>
      </c>
      <c r="D24" s="1">
        <f t="shared" si="38"/>
        <v>43464</v>
      </c>
      <c r="E24" s="1">
        <f t="shared" si="38"/>
        <v>48735</v>
      </c>
      <c r="F24" s="1">
        <f t="shared" si="38"/>
        <v>46827</v>
      </c>
      <c r="G24" s="1">
        <f t="shared" si="38"/>
        <v>49235</v>
      </c>
      <c r="H24" s="1">
        <f t="shared" si="38"/>
        <v>51794</v>
      </c>
      <c r="I24" s="1">
        <f t="shared" si="38"/>
        <v>55856</v>
      </c>
      <c r="J24" s="1">
        <f t="shared" si="38"/>
        <v>53178.471599999997</v>
      </c>
      <c r="K24" s="1">
        <f t="shared" si="38"/>
        <v>56917.156239999997</v>
      </c>
      <c r="L24" s="1">
        <f t="shared" si="38"/>
        <v>60989.503653519998</v>
      </c>
      <c r="M24" s="1">
        <f t="shared" si="38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9">R22-R23</f>
        <v>156633</v>
      </c>
      <c r="S24" s="1">
        <f t="shared" si="39"/>
        <v>174062</v>
      </c>
      <c r="T24" s="1">
        <f t="shared" si="39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40">J25*(1+K39)</f>
        <v>13342.24253644176</v>
      </c>
      <c r="L25" s="1">
        <f t="shared" si="40"/>
        <v>14296.862381725779</v>
      </c>
      <c r="M25" s="1">
        <f t="shared" si="40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41">U25*(1+V38)</f>
        <v>64291.181756986873</v>
      </c>
      <c r="W25" s="1">
        <f t="shared" si="41"/>
        <v>72039.107506787623</v>
      </c>
      <c r="X25" s="1">
        <f t="shared" si="41"/>
        <v>80846.551847881216</v>
      </c>
      <c r="Y25" s="1">
        <f t="shared" si="41"/>
        <v>90871.037130018231</v>
      </c>
    </row>
    <row r="26" spans="1:25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42">J26*(1+K39)</f>
        <v>7490.0069987664438</v>
      </c>
      <c r="L26" s="1">
        <f t="shared" si="42"/>
        <v>8025.9071147184286</v>
      </c>
      <c r="M26" s="1">
        <f t="shared" si="42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43">U26*1.05</f>
        <v>30658.320000000003</v>
      </c>
      <c r="W26" s="1">
        <f t="shared" si="43"/>
        <v>32191.236000000004</v>
      </c>
      <c r="X26" s="1">
        <f t="shared" si="43"/>
        <v>33800.797800000008</v>
      </c>
      <c r="Y26" s="1">
        <f t="shared" si="43"/>
        <v>35490.837690000008</v>
      </c>
    </row>
    <row r="27" spans="1:25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44">J27*(1+K39)</f>
        <v>4480.983407519514</v>
      </c>
      <c r="L27" s="1">
        <f t="shared" si="44"/>
        <v>4801.5918566256523</v>
      </c>
      <c r="M27" s="1">
        <f t="shared" si="44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5">U27*1.02</f>
        <v>14761.1952</v>
      </c>
      <c r="W27" s="1">
        <f t="shared" si="45"/>
        <v>15056.419104000001</v>
      </c>
      <c r="X27" s="1">
        <f t="shared" si="45"/>
        <v>15357.54748608</v>
      </c>
      <c r="Y27" s="1">
        <f t="shared" si="45"/>
        <v>15664.698435801602</v>
      </c>
    </row>
    <row r="28" spans="1:25" x14ac:dyDescent="0.2">
      <c r="A28" s="1" t="s">
        <v>48</v>
      </c>
      <c r="B28" s="1">
        <f>SUM(B25:B27)</f>
        <v>21760</v>
      </c>
      <c r="C28" s="1">
        <f t="shared" ref="C28:K28" si="46">SUM(C25:C27)</f>
        <v>20850</v>
      </c>
      <c r="D28" s="1">
        <f t="shared" si="46"/>
        <v>22121</v>
      </c>
      <c r="E28" s="1">
        <f t="shared" si="46"/>
        <v>25038</v>
      </c>
      <c r="F28" s="1">
        <f t="shared" si="46"/>
        <v>21355</v>
      </c>
      <c r="G28" s="1">
        <f t="shared" si="46"/>
        <v>21810</v>
      </c>
      <c r="H28" s="1">
        <f t="shared" si="46"/>
        <v>23273</v>
      </c>
      <c r="I28" s="1">
        <f t="shared" si="46"/>
        <v>24884</v>
      </c>
      <c r="J28" s="1">
        <f t="shared" si="46"/>
        <v>23650.497109745105</v>
      </c>
      <c r="K28" s="1">
        <f t="shared" si="46"/>
        <v>25313.232942727718</v>
      </c>
      <c r="L28" s="1">
        <f t="shared" ref="L28:M28" si="47">SUM(L25:L27)</f>
        <v>27124.36135306986</v>
      </c>
      <c r="M28" s="1">
        <f t="shared" si="47"/>
        <v>29099.560709852012</v>
      </c>
      <c r="O28" s="1">
        <f t="shared" ref="O28:Y28" si="48">SUM(O25:O27)</f>
        <v>55730</v>
      </c>
      <c r="P28" s="1">
        <f t="shared" si="48"/>
        <v>56571</v>
      </c>
      <c r="Q28" s="1">
        <f t="shared" si="48"/>
        <v>67984</v>
      </c>
      <c r="R28" s="1">
        <f t="shared" si="48"/>
        <v>81791</v>
      </c>
      <c r="S28" s="1">
        <f t="shared" si="48"/>
        <v>89589</v>
      </c>
      <c r="T28" s="1">
        <f t="shared" si="48"/>
        <v>91322</v>
      </c>
      <c r="U28" s="1">
        <f t="shared" si="48"/>
        <v>101137.07255262487</v>
      </c>
      <c r="V28" s="1">
        <f t="shared" si="48"/>
        <v>109710.69695698688</v>
      </c>
      <c r="W28" s="1">
        <f t="shared" si="48"/>
        <v>119286.76261078763</v>
      </c>
      <c r="X28" s="1">
        <f t="shared" si="48"/>
        <v>130004.89713396123</v>
      </c>
      <c r="Y28" s="1">
        <f t="shared" si="48"/>
        <v>142026.57325581985</v>
      </c>
    </row>
    <row r="29" spans="1:25" x14ac:dyDescent="0.2">
      <c r="A29" s="1" t="s">
        <v>47</v>
      </c>
      <c r="B29" s="1">
        <f>B24-B28</f>
        <v>17415</v>
      </c>
      <c r="C29" s="1">
        <f t="shared" ref="C29:K29" si="49">C24-C28</f>
        <v>21838</v>
      </c>
      <c r="D29" s="1">
        <f t="shared" si="49"/>
        <v>21343</v>
      </c>
      <c r="E29" s="1">
        <f t="shared" si="49"/>
        <v>23697</v>
      </c>
      <c r="F29" s="1">
        <f t="shared" si="49"/>
        <v>25472</v>
      </c>
      <c r="G29" s="1">
        <f t="shared" si="49"/>
        <v>27425</v>
      </c>
      <c r="H29" s="1">
        <f t="shared" si="49"/>
        <v>28521</v>
      </c>
      <c r="I29" s="1">
        <f t="shared" si="49"/>
        <v>30972</v>
      </c>
      <c r="J29" s="1">
        <f t="shared" si="49"/>
        <v>29527.974490254892</v>
      </c>
      <c r="K29" s="1">
        <f t="shared" si="49"/>
        <v>31603.923297272278</v>
      </c>
      <c r="L29" s="1">
        <f t="shared" ref="L29:M29" si="50">L24-L28</f>
        <v>33865.142300450141</v>
      </c>
      <c r="M29" s="1">
        <f t="shared" si="50"/>
        <v>36331.2061615856</v>
      </c>
      <c r="O29" s="1">
        <f t="shared" ref="O29:Y29" si="51">O24-O28</f>
        <v>34231</v>
      </c>
      <c r="P29" s="1">
        <f t="shared" si="51"/>
        <v>41224</v>
      </c>
      <c r="Q29" s="1">
        <f t="shared" si="51"/>
        <v>78714</v>
      </c>
      <c r="R29" s="1">
        <f t="shared" si="51"/>
        <v>74842</v>
      </c>
      <c r="S29" s="1">
        <f t="shared" si="51"/>
        <v>84473</v>
      </c>
      <c r="T29" s="1">
        <f t="shared" si="51"/>
        <v>112394</v>
      </c>
      <c r="U29" s="1">
        <f t="shared" si="51"/>
        <v>135378.82581233274</v>
      </c>
      <c r="V29" s="1">
        <f t="shared" si="51"/>
        <v>161148.38232575942</v>
      </c>
      <c r="W29" s="1">
        <f t="shared" si="51"/>
        <v>187249.37899332808</v>
      </c>
      <c r="X29" s="1">
        <f t="shared" si="51"/>
        <v>217448.24092362341</v>
      </c>
      <c r="Y29" s="1">
        <f t="shared" si="51"/>
        <v>252414.01265151321</v>
      </c>
    </row>
    <row r="30" spans="1:25" x14ac:dyDescent="0.2">
      <c r="A30" s="1" t="s">
        <v>12</v>
      </c>
      <c r="J30" s="1">
        <f>I56*$AB$96/4</f>
        <v>423.87</v>
      </c>
      <c r="U30" s="1">
        <f>T56*$AB$96</f>
        <v>1695.48</v>
      </c>
      <c r="V30" s="1">
        <f>U56*$AB$96</f>
        <v>3942.0037541597908</v>
      </c>
      <c r="W30" s="1">
        <f>V56*$AB$96</f>
        <v>6642.6472086544827</v>
      </c>
      <c r="X30" s="1">
        <f>W56*$AB$96</f>
        <v>9810.1390251266002</v>
      </c>
      <c r="Y30" s="1">
        <f>X56*$AB$96</f>
        <v>13518.430182216349</v>
      </c>
    </row>
    <row r="31" spans="1:25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52">V31*1.01</f>
        <v>1632.16</v>
      </c>
      <c r="X31" s="1">
        <f t="shared" si="52"/>
        <v>1648.4816000000001</v>
      </c>
      <c r="Y31" s="1">
        <f t="shared" si="52"/>
        <v>1664.966416</v>
      </c>
    </row>
    <row r="32" spans="1:25" x14ac:dyDescent="0.2">
      <c r="A32" s="1" t="s">
        <v>15</v>
      </c>
      <c r="B32" s="1">
        <f>B29+SUM(B30:B31)</f>
        <v>18205</v>
      </c>
      <c r="C32" s="1">
        <f t="shared" ref="C32:K32" si="53">C29+SUM(C30:C31)</f>
        <v>21903</v>
      </c>
      <c r="D32" s="1">
        <f t="shared" si="53"/>
        <v>21197</v>
      </c>
      <c r="E32" s="1">
        <f t="shared" si="53"/>
        <v>24412</v>
      </c>
      <c r="F32" s="1">
        <f t="shared" si="53"/>
        <v>28315</v>
      </c>
      <c r="G32" s="1">
        <f t="shared" si="53"/>
        <v>27551</v>
      </c>
      <c r="H32" s="1">
        <f t="shared" si="53"/>
        <v>31706</v>
      </c>
      <c r="I32" s="1">
        <f t="shared" si="53"/>
        <v>32243</v>
      </c>
      <c r="J32" s="1">
        <f t="shared" si="53"/>
        <v>30951.844490254891</v>
      </c>
      <c r="K32" s="1">
        <f t="shared" si="53"/>
        <v>31603.923297272278</v>
      </c>
      <c r="L32" s="1">
        <f t="shared" ref="L32:M32" si="54">L29+SUM(L30:L31)</f>
        <v>33865.142300450141</v>
      </c>
      <c r="M32" s="1">
        <f t="shared" si="54"/>
        <v>36331.2061615856</v>
      </c>
      <c r="N32" s="4"/>
      <c r="O32" s="1">
        <f t="shared" ref="O32:T32" si="55">SUM(O29:O31)</f>
        <v>39625</v>
      </c>
      <c r="P32" s="1">
        <f t="shared" si="55"/>
        <v>48082</v>
      </c>
      <c r="Q32" s="1">
        <f t="shared" si="55"/>
        <v>78714</v>
      </c>
      <c r="R32" s="1">
        <f t="shared" si="55"/>
        <v>74842</v>
      </c>
      <c r="S32" s="1">
        <f t="shared" si="55"/>
        <v>85897</v>
      </c>
      <c r="T32" s="1">
        <f t="shared" si="55"/>
        <v>119819</v>
      </c>
      <c r="U32" s="1">
        <f t="shared" ref="U32:Y32" si="56">SUM(U29:U31)</f>
        <v>138674.30581233275</v>
      </c>
      <c r="V32" s="1">
        <f t="shared" si="56"/>
        <v>166706.3860799192</v>
      </c>
      <c r="W32" s="1">
        <f t="shared" si="56"/>
        <v>195524.18620198258</v>
      </c>
      <c r="X32" s="1">
        <f t="shared" si="56"/>
        <v>228906.86154875002</v>
      </c>
      <c r="Y32" s="1">
        <f t="shared" si="56"/>
        <v>267597.40924972954</v>
      </c>
    </row>
    <row r="33" spans="1:219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5880.8504531484296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26348.118104343223</v>
      </c>
      <c r="V33" s="1">
        <f>V32*V40</f>
        <v>31674.213355184649</v>
      </c>
      <c r="W33" s="1">
        <f>W32*W40</f>
        <v>37149.595378376689</v>
      </c>
      <c r="X33" s="1">
        <f>X32*X40</f>
        <v>43492.303694262504</v>
      </c>
      <c r="Y33" s="1">
        <f>Y32*Y40</f>
        <v>50843.507757448613</v>
      </c>
    </row>
    <row r="34" spans="1:219" s="3" customFormat="1" x14ac:dyDescent="0.2">
      <c r="A34" s="3" t="s">
        <v>16</v>
      </c>
      <c r="B34" s="3">
        <f>B32-B33</f>
        <v>15051</v>
      </c>
      <c r="C34" s="3">
        <f t="shared" ref="C34:K34" si="57">C32-C33</f>
        <v>18368</v>
      </c>
      <c r="D34" s="3">
        <f t="shared" si="57"/>
        <v>19689</v>
      </c>
      <c r="E34" s="3">
        <f t="shared" si="57"/>
        <v>20687</v>
      </c>
      <c r="F34" s="3">
        <f t="shared" si="57"/>
        <v>23662</v>
      </c>
      <c r="G34" s="3">
        <f t="shared" si="57"/>
        <v>23619</v>
      </c>
      <c r="H34" s="3">
        <f t="shared" si="57"/>
        <v>26301</v>
      </c>
      <c r="I34" s="3">
        <f t="shared" si="57"/>
        <v>26536</v>
      </c>
      <c r="J34" s="3">
        <f t="shared" si="57"/>
        <v>25070.994037106462</v>
      </c>
      <c r="K34" s="3">
        <f t="shared" si="57"/>
        <v>25599.177870790547</v>
      </c>
      <c r="L34" s="3">
        <f t="shared" ref="L34:M34" si="58">L32-L33</f>
        <v>27430.765263364614</v>
      </c>
      <c r="M34" s="3">
        <f t="shared" si="58"/>
        <v>29428.276990884337</v>
      </c>
      <c r="O34" s="3">
        <f t="shared" ref="O34:T34" si="59">O32-O33</f>
        <v>34343</v>
      </c>
      <c r="P34" s="3">
        <f t="shared" si="59"/>
        <v>40269</v>
      </c>
      <c r="Q34" s="3">
        <f t="shared" si="59"/>
        <v>64013</v>
      </c>
      <c r="R34" s="3">
        <f t="shared" si="59"/>
        <v>63486</v>
      </c>
      <c r="S34" s="3">
        <f t="shared" si="59"/>
        <v>73975</v>
      </c>
      <c r="T34" s="3">
        <f t="shared" si="59"/>
        <v>100122</v>
      </c>
      <c r="U34" s="3">
        <f t="shared" ref="U34:Y34" si="60">U32-U33</f>
        <v>112326.18770798953</v>
      </c>
      <c r="V34" s="3">
        <f t="shared" si="60"/>
        <v>135032.17272473456</v>
      </c>
      <c r="W34" s="3">
        <f t="shared" si="60"/>
        <v>158374.59082360589</v>
      </c>
      <c r="X34" s="3">
        <f t="shared" si="60"/>
        <v>185414.5578544875</v>
      </c>
      <c r="Y34" s="3">
        <f t="shared" si="60"/>
        <v>216753.90149228091</v>
      </c>
      <c r="Z34" s="3">
        <f t="shared" ref="Z34:BE34" si="61">Y34*(1+$AB$97)</f>
        <v>218921.44050720372</v>
      </c>
      <c r="AA34" s="3">
        <f t="shared" si="61"/>
        <v>221110.65491227576</v>
      </c>
      <c r="AB34" s="3">
        <f t="shared" si="61"/>
        <v>223321.76146139851</v>
      </c>
      <c r="AC34" s="3">
        <f t="shared" si="61"/>
        <v>225554.9790760125</v>
      </c>
      <c r="AD34" s="3">
        <f t="shared" si="61"/>
        <v>227810.52886677263</v>
      </c>
      <c r="AE34" s="3">
        <f t="shared" si="61"/>
        <v>230088.63415544035</v>
      </c>
      <c r="AF34" s="3">
        <f t="shared" si="61"/>
        <v>232389.52049699475</v>
      </c>
      <c r="AG34" s="3">
        <f t="shared" si="61"/>
        <v>234713.4157019647</v>
      </c>
      <c r="AH34" s="3">
        <f t="shared" si="61"/>
        <v>237060.54985898433</v>
      </c>
      <c r="AI34" s="3">
        <f t="shared" si="61"/>
        <v>239431.15535757417</v>
      </c>
      <c r="AJ34" s="3">
        <f t="shared" si="61"/>
        <v>241825.46691114991</v>
      </c>
      <c r="AK34" s="3">
        <f t="shared" si="61"/>
        <v>244243.72158026142</v>
      </c>
      <c r="AL34" s="3">
        <f t="shared" si="61"/>
        <v>246686.15879606403</v>
      </c>
      <c r="AM34" s="3">
        <f t="shared" si="61"/>
        <v>249153.02038402468</v>
      </c>
      <c r="AN34" s="3">
        <f t="shared" si="61"/>
        <v>251644.55058786494</v>
      </c>
      <c r="AO34" s="3">
        <f t="shared" si="61"/>
        <v>254160.9960937436</v>
      </c>
      <c r="AP34" s="3">
        <f t="shared" si="61"/>
        <v>256702.60605468103</v>
      </c>
      <c r="AQ34" s="3">
        <f t="shared" si="61"/>
        <v>259269.63211522784</v>
      </c>
      <c r="AR34" s="3">
        <f t="shared" si="61"/>
        <v>261862.32843638011</v>
      </c>
      <c r="AS34" s="3">
        <f t="shared" si="61"/>
        <v>264480.95172074391</v>
      </c>
      <c r="AT34" s="3">
        <f t="shared" si="61"/>
        <v>267125.76123795134</v>
      </c>
      <c r="AU34" s="3">
        <f t="shared" si="61"/>
        <v>269797.01885033085</v>
      </c>
      <c r="AV34" s="3">
        <f t="shared" si="61"/>
        <v>272494.98903883417</v>
      </c>
      <c r="AW34" s="3">
        <f t="shared" si="61"/>
        <v>275219.93892922252</v>
      </c>
      <c r="AX34" s="3">
        <f t="shared" si="61"/>
        <v>277972.13831851474</v>
      </c>
      <c r="AY34" s="3">
        <f t="shared" si="61"/>
        <v>280751.85970169987</v>
      </c>
      <c r="AZ34" s="3">
        <f t="shared" si="61"/>
        <v>283559.37829871685</v>
      </c>
      <c r="BA34" s="3">
        <f t="shared" si="61"/>
        <v>286394.97208170401</v>
      </c>
      <c r="BB34" s="3">
        <f t="shared" si="61"/>
        <v>289258.92180252104</v>
      </c>
      <c r="BC34" s="3">
        <f t="shared" si="61"/>
        <v>292151.51102054626</v>
      </c>
      <c r="BD34" s="3">
        <f t="shared" si="61"/>
        <v>295073.02613075171</v>
      </c>
      <c r="BE34" s="3">
        <f t="shared" si="61"/>
        <v>298023.75639205921</v>
      </c>
      <c r="BF34" s="3">
        <f t="shared" ref="BF34:CK34" si="62">BE34*(1+$AB$97)</f>
        <v>301003.99395597982</v>
      </c>
      <c r="BG34" s="3">
        <f t="shared" si="62"/>
        <v>304014.03389553964</v>
      </c>
      <c r="BH34" s="3">
        <f t="shared" si="62"/>
        <v>307054.17423449503</v>
      </c>
      <c r="BI34" s="3">
        <f t="shared" si="62"/>
        <v>310124.71597684</v>
      </c>
      <c r="BJ34" s="3">
        <f t="shared" si="62"/>
        <v>313225.96313660842</v>
      </c>
      <c r="BK34" s="3">
        <f t="shared" si="62"/>
        <v>316358.22276797448</v>
      </c>
      <c r="BL34" s="3">
        <f t="shared" si="62"/>
        <v>319521.80499565421</v>
      </c>
      <c r="BM34" s="3">
        <f t="shared" si="62"/>
        <v>322717.02304561075</v>
      </c>
      <c r="BN34" s="3">
        <f t="shared" si="62"/>
        <v>325944.19327606686</v>
      </c>
      <c r="BO34" s="3">
        <f t="shared" si="62"/>
        <v>329203.6352088275</v>
      </c>
      <c r="BP34" s="3">
        <f t="shared" si="62"/>
        <v>332495.67156091577</v>
      </c>
      <c r="BQ34" s="3">
        <f t="shared" si="62"/>
        <v>335820.62827652495</v>
      </c>
      <c r="BR34" s="3">
        <f t="shared" si="62"/>
        <v>339178.8345592902</v>
      </c>
      <c r="BS34" s="3">
        <f t="shared" si="62"/>
        <v>342570.62290488312</v>
      </c>
      <c r="BT34" s="3">
        <f t="shared" si="62"/>
        <v>345996.32913393195</v>
      </c>
      <c r="BU34" s="3">
        <f t="shared" si="62"/>
        <v>349456.2924252713</v>
      </c>
      <c r="BV34" s="3">
        <f t="shared" si="62"/>
        <v>352950.855349524</v>
      </c>
      <c r="BW34" s="3">
        <f t="shared" si="62"/>
        <v>356480.36390301923</v>
      </c>
      <c r="BX34" s="3">
        <f t="shared" si="62"/>
        <v>360045.16754204943</v>
      </c>
      <c r="BY34" s="3">
        <f t="shared" si="62"/>
        <v>363645.61921746994</v>
      </c>
      <c r="BZ34" s="3">
        <f t="shared" si="62"/>
        <v>367282.07540964463</v>
      </c>
      <c r="CA34" s="3">
        <f t="shared" si="62"/>
        <v>370954.89616374107</v>
      </c>
      <c r="CB34" s="3">
        <f t="shared" si="62"/>
        <v>374664.44512537849</v>
      </c>
      <c r="CC34" s="3">
        <f t="shared" si="62"/>
        <v>378411.08957663231</v>
      </c>
      <c r="CD34" s="3">
        <f t="shared" si="62"/>
        <v>382195.20047239866</v>
      </c>
      <c r="CE34" s="3">
        <f t="shared" si="62"/>
        <v>386017.15247712267</v>
      </c>
      <c r="CF34" s="3">
        <f t="shared" si="62"/>
        <v>389877.32400189393</v>
      </c>
      <c r="CG34" s="3">
        <f t="shared" si="62"/>
        <v>393776.09724191285</v>
      </c>
      <c r="CH34" s="3">
        <f t="shared" si="62"/>
        <v>397713.85821433197</v>
      </c>
      <c r="CI34" s="3">
        <f t="shared" si="62"/>
        <v>401690.99679647532</v>
      </c>
      <c r="CJ34" s="3">
        <f t="shared" si="62"/>
        <v>405707.90676444006</v>
      </c>
      <c r="CK34" s="3">
        <f t="shared" si="62"/>
        <v>409764.98583208449</v>
      </c>
      <c r="CL34" s="3">
        <f t="shared" ref="CL34:DQ34" si="63">CK34*(1+$AB$97)</f>
        <v>413862.63569040532</v>
      </c>
      <c r="CM34" s="3">
        <f t="shared" si="63"/>
        <v>418001.26204730937</v>
      </c>
      <c r="CN34" s="3">
        <f t="shared" si="63"/>
        <v>422181.27466778248</v>
      </c>
      <c r="CO34" s="3">
        <f t="shared" si="63"/>
        <v>426403.08741446031</v>
      </c>
      <c r="CP34" s="3">
        <f t="shared" si="63"/>
        <v>430667.11828860495</v>
      </c>
      <c r="CQ34" s="3">
        <f t="shared" si="63"/>
        <v>434973.78947149101</v>
      </c>
      <c r="CR34" s="3">
        <f t="shared" si="63"/>
        <v>439323.52736620593</v>
      </c>
      <c r="CS34" s="3">
        <f t="shared" si="63"/>
        <v>443716.76263986801</v>
      </c>
      <c r="CT34" s="3">
        <f t="shared" si="63"/>
        <v>448153.93026626669</v>
      </c>
      <c r="CU34" s="3">
        <f t="shared" si="63"/>
        <v>452635.46956892934</v>
      </c>
      <c r="CV34" s="3">
        <f t="shared" si="63"/>
        <v>457161.82426461863</v>
      </c>
      <c r="CW34" s="3">
        <f t="shared" si="63"/>
        <v>461733.44250726484</v>
      </c>
      <c r="CX34" s="3">
        <f t="shared" si="63"/>
        <v>466350.7769323375</v>
      </c>
      <c r="CY34" s="3">
        <f t="shared" si="63"/>
        <v>471014.28470166086</v>
      </c>
      <c r="CZ34" s="3">
        <f t="shared" si="63"/>
        <v>475724.42754867749</v>
      </c>
      <c r="DA34" s="3">
        <f t="shared" si="63"/>
        <v>480481.67182416428</v>
      </c>
      <c r="DB34" s="3">
        <f t="shared" si="63"/>
        <v>485286.48854240595</v>
      </c>
      <c r="DC34" s="3">
        <f t="shared" si="63"/>
        <v>490139.35342783004</v>
      </c>
      <c r="DD34" s="3">
        <f t="shared" si="63"/>
        <v>495040.74696210836</v>
      </c>
      <c r="DE34" s="3">
        <f t="shared" si="63"/>
        <v>499991.15443172946</v>
      </c>
      <c r="DF34" s="3">
        <f t="shared" si="63"/>
        <v>504991.06597604678</v>
      </c>
      <c r="DG34" s="3">
        <f t="shared" si="63"/>
        <v>510040.97663580725</v>
      </c>
      <c r="DH34" s="3">
        <f t="shared" si="63"/>
        <v>515141.38640216534</v>
      </c>
      <c r="DI34" s="3">
        <f t="shared" si="63"/>
        <v>520292.800266187</v>
      </c>
      <c r="DJ34" s="3">
        <f t="shared" si="63"/>
        <v>525495.72826884885</v>
      </c>
      <c r="DK34" s="3">
        <f t="shared" si="63"/>
        <v>530750.68555153732</v>
      </c>
      <c r="DL34" s="3">
        <f t="shared" si="63"/>
        <v>536058.19240705273</v>
      </c>
      <c r="DM34" s="3">
        <f t="shared" si="63"/>
        <v>541418.77433112322</v>
      </c>
      <c r="DN34" s="3">
        <f t="shared" si="63"/>
        <v>546832.9620744345</v>
      </c>
      <c r="DO34" s="3">
        <f t="shared" si="63"/>
        <v>552301.29169517884</v>
      </c>
      <c r="DP34" s="3">
        <f t="shared" si="63"/>
        <v>557824.30461213063</v>
      </c>
      <c r="DQ34" s="3">
        <f t="shared" si="63"/>
        <v>563402.54765825195</v>
      </c>
      <c r="DR34" s="3">
        <f t="shared" ref="DR34:EW34" si="64">DQ34*(1+$AB$97)</f>
        <v>569036.57313483453</v>
      </c>
      <c r="DS34" s="3">
        <f t="shared" si="64"/>
        <v>574726.93886618293</v>
      </c>
      <c r="DT34" s="3">
        <f t="shared" si="64"/>
        <v>580474.20825484477</v>
      </c>
      <c r="DU34" s="3">
        <f t="shared" si="64"/>
        <v>586278.95033739321</v>
      </c>
      <c r="DV34" s="3">
        <f t="shared" si="64"/>
        <v>592141.73984076711</v>
      </c>
      <c r="DW34" s="3">
        <f t="shared" si="64"/>
        <v>598063.15723917482</v>
      </c>
      <c r="DX34" s="3">
        <f t="shared" si="64"/>
        <v>604043.78881156654</v>
      </c>
      <c r="DY34" s="3">
        <f t="shared" si="64"/>
        <v>610084.22669968219</v>
      </c>
      <c r="DZ34" s="3">
        <f t="shared" si="64"/>
        <v>616185.06896667904</v>
      </c>
      <c r="EA34" s="3">
        <f t="shared" si="64"/>
        <v>622346.91965634585</v>
      </c>
      <c r="EB34" s="3">
        <f t="shared" si="64"/>
        <v>628570.38885290932</v>
      </c>
      <c r="EC34" s="3">
        <f t="shared" si="64"/>
        <v>634856.09274143842</v>
      </c>
      <c r="ED34" s="3">
        <f t="shared" si="64"/>
        <v>641204.65366885276</v>
      </c>
      <c r="EE34" s="3">
        <f t="shared" si="64"/>
        <v>647616.70020554133</v>
      </c>
      <c r="EF34" s="3">
        <f t="shared" si="64"/>
        <v>654092.86720759678</v>
      </c>
      <c r="EG34" s="3">
        <f t="shared" si="64"/>
        <v>660633.79587967275</v>
      </c>
      <c r="EH34" s="3">
        <f t="shared" si="64"/>
        <v>667240.13383846951</v>
      </c>
      <c r="EI34" s="3">
        <f t="shared" si="64"/>
        <v>673912.53517685423</v>
      </c>
      <c r="EJ34" s="3">
        <f t="shared" si="64"/>
        <v>680651.6605286228</v>
      </c>
      <c r="EK34" s="3">
        <f t="shared" si="64"/>
        <v>687458.17713390908</v>
      </c>
      <c r="EL34" s="3">
        <f t="shared" si="64"/>
        <v>694332.75890524813</v>
      </c>
      <c r="EM34" s="3">
        <f t="shared" si="64"/>
        <v>701276.08649430063</v>
      </c>
      <c r="EN34" s="3">
        <f t="shared" si="64"/>
        <v>708288.84735924366</v>
      </c>
      <c r="EO34" s="3">
        <f t="shared" si="64"/>
        <v>715371.73583283613</v>
      </c>
      <c r="EP34" s="3">
        <f t="shared" si="64"/>
        <v>722525.45319116453</v>
      </c>
      <c r="EQ34" s="3">
        <f t="shared" si="64"/>
        <v>729750.70772307622</v>
      </c>
      <c r="ER34" s="3">
        <f t="shared" si="64"/>
        <v>737048.21480030695</v>
      </c>
      <c r="ES34" s="3">
        <f t="shared" si="64"/>
        <v>744418.69694831001</v>
      </c>
      <c r="ET34" s="3">
        <f t="shared" si="64"/>
        <v>751862.88391779317</v>
      </c>
      <c r="EU34" s="3">
        <f t="shared" si="64"/>
        <v>759381.51275697106</v>
      </c>
      <c r="EV34" s="3">
        <f t="shared" si="64"/>
        <v>766975.32788454078</v>
      </c>
      <c r="EW34" s="3">
        <f t="shared" si="64"/>
        <v>774645.08116338623</v>
      </c>
      <c r="EX34" s="3">
        <f t="shared" ref="EX34:GC34" si="65">EW34*(1+$AB$97)</f>
        <v>782391.53197502007</v>
      </c>
      <c r="EY34" s="3">
        <f t="shared" si="65"/>
        <v>790215.44729477027</v>
      </c>
      <c r="EZ34" s="3">
        <f t="shared" si="65"/>
        <v>798117.60176771798</v>
      </c>
      <c r="FA34" s="3">
        <f t="shared" si="65"/>
        <v>806098.77778539516</v>
      </c>
      <c r="FB34" s="3">
        <f t="shared" si="65"/>
        <v>814159.76556324912</v>
      </c>
      <c r="FC34" s="3">
        <f t="shared" si="65"/>
        <v>822301.36321888166</v>
      </c>
      <c r="FD34" s="3">
        <f t="shared" si="65"/>
        <v>830524.37685107044</v>
      </c>
      <c r="FE34" s="3">
        <f t="shared" si="65"/>
        <v>838829.6206195812</v>
      </c>
      <c r="FF34" s="3">
        <f t="shared" si="65"/>
        <v>847217.91682577704</v>
      </c>
      <c r="FG34" s="3">
        <f t="shared" si="65"/>
        <v>855690.09599403478</v>
      </c>
      <c r="FH34" s="3">
        <f t="shared" si="65"/>
        <v>864246.99695397518</v>
      </c>
      <c r="FI34" s="3">
        <f t="shared" si="65"/>
        <v>872889.46692351496</v>
      </c>
      <c r="FJ34" s="3">
        <f t="shared" si="65"/>
        <v>881618.36159275007</v>
      </c>
      <c r="FK34" s="3">
        <f t="shared" si="65"/>
        <v>890434.54520867753</v>
      </c>
      <c r="FL34" s="3">
        <f t="shared" si="65"/>
        <v>899338.8906607643</v>
      </c>
      <c r="FM34" s="3">
        <f t="shared" si="65"/>
        <v>908332.27956737194</v>
      </c>
      <c r="FN34" s="3">
        <f t="shared" si="65"/>
        <v>917415.60236304568</v>
      </c>
      <c r="FO34" s="3">
        <f t="shared" si="65"/>
        <v>926589.7583866762</v>
      </c>
      <c r="FP34" s="3">
        <f t="shared" si="65"/>
        <v>935855.65597054292</v>
      </c>
      <c r="FQ34" s="3">
        <f t="shared" si="65"/>
        <v>945214.21253024833</v>
      </c>
      <c r="FR34" s="3">
        <f t="shared" si="65"/>
        <v>954666.35465555079</v>
      </c>
      <c r="FS34" s="3">
        <f t="shared" si="65"/>
        <v>964213.01820210635</v>
      </c>
      <c r="FT34" s="3">
        <f t="shared" si="65"/>
        <v>973855.14838412742</v>
      </c>
      <c r="FU34" s="3">
        <f t="shared" si="65"/>
        <v>983593.69986796868</v>
      </c>
      <c r="FV34" s="3">
        <f t="shared" si="65"/>
        <v>993429.63686664833</v>
      </c>
      <c r="FW34" s="3">
        <f t="shared" si="65"/>
        <v>1003363.9332353148</v>
      </c>
      <c r="FX34" s="3">
        <f t="shared" si="65"/>
        <v>1013397.5725676679</v>
      </c>
      <c r="FY34" s="3">
        <f t="shared" si="65"/>
        <v>1023531.5482933446</v>
      </c>
      <c r="FZ34" s="3">
        <f t="shared" si="65"/>
        <v>1033766.863776278</v>
      </c>
      <c r="GA34" s="3">
        <f t="shared" si="65"/>
        <v>1044104.5324140408</v>
      </c>
      <c r="GB34" s="3">
        <f t="shared" si="65"/>
        <v>1054545.5777381812</v>
      </c>
      <c r="GC34" s="3">
        <f t="shared" si="65"/>
        <v>1065091.033515563</v>
      </c>
      <c r="GD34" s="3">
        <f t="shared" ref="GD34:HK34" si="66">GC34*(1+$AB$97)</f>
        <v>1075741.9438507187</v>
      </c>
      <c r="GE34" s="3">
        <f t="shared" si="66"/>
        <v>1086499.3632892258</v>
      </c>
      <c r="GF34" s="3">
        <f t="shared" si="66"/>
        <v>1097364.3569221182</v>
      </c>
      <c r="GG34" s="3">
        <f t="shared" si="66"/>
        <v>1108338.0004913395</v>
      </c>
      <c r="GH34" s="3">
        <f t="shared" si="66"/>
        <v>1119421.3804962528</v>
      </c>
      <c r="GI34" s="3">
        <f t="shared" si="66"/>
        <v>1130615.5943012154</v>
      </c>
      <c r="GJ34" s="3">
        <f t="shared" si="66"/>
        <v>1141921.7502442275</v>
      </c>
      <c r="GK34" s="3">
        <f t="shared" si="66"/>
        <v>1153340.9677466697</v>
      </c>
      <c r="GL34" s="3">
        <f t="shared" si="66"/>
        <v>1164874.3774241363</v>
      </c>
      <c r="GM34" s="3">
        <f t="shared" si="66"/>
        <v>1176523.1211983776</v>
      </c>
      <c r="GN34" s="3">
        <f t="shared" si="66"/>
        <v>1188288.3524103614</v>
      </c>
      <c r="GO34" s="3">
        <f t="shared" si="66"/>
        <v>1200171.235934465</v>
      </c>
      <c r="GP34" s="3">
        <f t="shared" si="66"/>
        <v>1212172.9482938095</v>
      </c>
      <c r="GQ34" s="3">
        <f t="shared" si="66"/>
        <v>1224294.6777767476</v>
      </c>
      <c r="GR34" s="3">
        <f t="shared" si="66"/>
        <v>1236537.6245545151</v>
      </c>
      <c r="GS34" s="3">
        <f t="shared" si="66"/>
        <v>1248903.0008000603</v>
      </c>
      <c r="GT34" s="3">
        <f t="shared" si="66"/>
        <v>1261392.0308080609</v>
      </c>
      <c r="GU34" s="3">
        <f t="shared" si="66"/>
        <v>1274005.9511161416</v>
      </c>
      <c r="GV34" s="3">
        <f t="shared" si="66"/>
        <v>1286746.010627303</v>
      </c>
      <c r="GW34" s="3">
        <f t="shared" si="66"/>
        <v>1299613.470733576</v>
      </c>
      <c r="GX34" s="3">
        <f t="shared" si="66"/>
        <v>1312609.6054409118</v>
      </c>
      <c r="GY34" s="3">
        <f t="shared" si="66"/>
        <v>1325735.701495321</v>
      </c>
      <c r="GZ34" s="3">
        <f t="shared" si="66"/>
        <v>1338993.0585102742</v>
      </c>
      <c r="HA34" s="3">
        <f t="shared" si="66"/>
        <v>1352382.9890953768</v>
      </c>
      <c r="HB34" s="3">
        <f t="shared" si="66"/>
        <v>1365906.8189863306</v>
      </c>
      <c r="HC34" s="3">
        <f t="shared" si="66"/>
        <v>1379565.887176194</v>
      </c>
      <c r="HD34" s="3">
        <f t="shared" si="66"/>
        <v>1393361.546047956</v>
      </c>
      <c r="HE34" s="3">
        <f t="shared" si="66"/>
        <v>1407295.1615084356</v>
      </c>
      <c r="HF34" s="3">
        <f t="shared" si="66"/>
        <v>1421368.11312352</v>
      </c>
      <c r="HG34" s="3">
        <f t="shared" si="66"/>
        <v>1435581.7942547554</v>
      </c>
      <c r="HH34" s="3">
        <f t="shared" si="66"/>
        <v>1449937.612197303</v>
      </c>
      <c r="HI34" s="3">
        <f t="shared" si="66"/>
        <v>1464436.9883192761</v>
      </c>
      <c r="HJ34" s="3">
        <f t="shared" si="66"/>
        <v>1479081.3582024688</v>
      </c>
      <c r="HK34" s="3">
        <f t="shared" si="66"/>
        <v>1493872.1717844936</v>
      </c>
    </row>
    <row r="35" spans="1:219" s="3" customFormat="1" x14ac:dyDescent="0.2">
      <c r="A35" s="1" t="s">
        <v>50</v>
      </c>
      <c r="B35" s="7" t="e">
        <f>B34/B36</f>
        <v>#DIV/0!</v>
      </c>
      <c r="C35" s="7">
        <f t="shared" ref="C35:F35" si="67">C34/C36</f>
        <v>1.439047320589157</v>
      </c>
      <c r="D35" s="7" t="e">
        <f t="shared" si="67"/>
        <v>#DIV/0!</v>
      </c>
      <c r="E35" s="7" t="e">
        <f t="shared" si="67"/>
        <v>#DIV/0!</v>
      </c>
      <c r="F35" s="7" t="e">
        <f t="shared" si="67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8">J34/J36</f>
        <v>2.0466117581311396</v>
      </c>
      <c r="K35" s="7">
        <f t="shared" si="68"/>
        <v>2.0897288057788201</v>
      </c>
      <c r="L35" s="7">
        <f t="shared" si="68"/>
        <v>2.2392461439481317</v>
      </c>
      <c r="M35" s="7">
        <f t="shared" si="68"/>
        <v>2.4023083257864766</v>
      </c>
      <c r="N35" s="7"/>
      <c r="O35" s="7"/>
      <c r="P35" s="7"/>
      <c r="Q35" s="7"/>
      <c r="R35" s="7"/>
      <c r="S35" s="4"/>
      <c r="T35" s="7">
        <f t="shared" ref="T35" si="69">T34/T36</f>
        <v>8.1732244897959188</v>
      </c>
      <c r="U35" s="7">
        <f t="shared" ref="U35" si="70">U34/U36</f>
        <v>8.9896908929963608</v>
      </c>
      <c r="V35" s="7">
        <f t="shared" ref="V35" si="71">V34/V36</f>
        <v>10.594996643734714</v>
      </c>
      <c r="W35" s="7">
        <f t="shared" ref="W35" si="72">W34/W36</f>
        <v>12.182850135333325</v>
      </c>
      <c r="X35" s="7">
        <f t="shared" ref="X35" si="73">X34/X36</f>
        <v>13.98321560755892</v>
      </c>
      <c r="Y35" s="7">
        <f t="shared" ref="Y35" si="74">Y34/Y36</f>
        <v>16.026178508767135</v>
      </c>
    </row>
    <row r="36" spans="1:219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5">U36*1.02</f>
        <v>12744.9</v>
      </c>
      <c r="W36" s="1">
        <f t="shared" si="75"/>
        <v>12999.798000000001</v>
      </c>
      <c r="X36" s="1">
        <f t="shared" si="75"/>
        <v>13259.793960000001</v>
      </c>
      <c r="Y36" s="1">
        <f t="shared" si="75"/>
        <v>13524.989839200001</v>
      </c>
      <c r="AA36" s="1"/>
      <c r="AB36" s="9"/>
    </row>
    <row r="37" spans="1:219" s="3" customFormat="1" x14ac:dyDescent="0.2">
      <c r="O37" s="1"/>
      <c r="T37" s="1"/>
      <c r="U37" s="1"/>
      <c r="V37" s="1"/>
      <c r="W37" s="1"/>
      <c r="X37" s="1"/>
      <c r="Y37" s="1"/>
      <c r="AA37" s="1"/>
      <c r="AB37" s="9"/>
    </row>
    <row r="38" spans="1:219" x14ac:dyDescent="0.2">
      <c r="A38" s="3" t="s">
        <v>42</v>
      </c>
      <c r="B38" s="3"/>
      <c r="C38" s="3"/>
      <c r="D38" s="3"/>
      <c r="E38" s="3"/>
      <c r="F38" s="5">
        <f t="shared" ref="F38:M38" si="76">F22/B22-1</f>
        <v>0.15406880937710454</v>
      </c>
      <c r="G38" s="5">
        <f t="shared" si="76"/>
        <v>0.13589083695244231</v>
      </c>
      <c r="H38" s="5">
        <f t="shared" si="76"/>
        <v>0.15092642092498654</v>
      </c>
      <c r="I38" s="5">
        <f t="shared" si="76"/>
        <v>0.11770362646275045</v>
      </c>
      <c r="J38" s="5">
        <f t="shared" si="76"/>
        <v>0.13841766100895225</v>
      </c>
      <c r="K38" s="5">
        <f t="shared" si="76"/>
        <v>0.15802114653890631</v>
      </c>
      <c r="L38" s="5">
        <f t="shared" si="76"/>
        <v>0.19130734404314143</v>
      </c>
      <c r="M38" s="5">
        <f t="shared" si="76"/>
        <v>0.16940848375872064</v>
      </c>
      <c r="N38" s="5"/>
      <c r="O38" s="5"/>
      <c r="P38" s="5">
        <f t="shared" ref="P38:Y38" si="77">P22/O22-1</f>
        <v>0.12770532012826141</v>
      </c>
      <c r="Q38" s="5">
        <f t="shared" si="77"/>
        <v>0.41150076427049154</v>
      </c>
      <c r="R38" s="5">
        <f t="shared" si="77"/>
        <v>9.7808156437157789E-2</v>
      </c>
      <c r="S38" s="5">
        <f t="shared" si="77"/>
        <v>8.6827702272695095E-2</v>
      </c>
      <c r="T38" s="5">
        <f t="shared" si="77"/>
        <v>0.13866243322901561</v>
      </c>
      <c r="U38" s="5">
        <f t="shared" si="77"/>
        <v>0.16504303111188579</v>
      </c>
      <c r="V38" s="5">
        <f t="shared" si="77"/>
        <v>0.11875127619067283</v>
      </c>
      <c r="W38" s="5">
        <f t="shared" si="77"/>
        <v>0.12051303986115847</v>
      </c>
      <c r="X38" s="5">
        <f t="shared" si="77"/>
        <v>0.1222592095586934</v>
      </c>
      <c r="Y38" s="5">
        <f t="shared" si="77"/>
        <v>0.12399397442452242</v>
      </c>
      <c r="AB38" s="9"/>
    </row>
    <row r="39" spans="1:219" s="3" customFormat="1" x14ac:dyDescent="0.2">
      <c r="A39" s="3" t="s">
        <v>43</v>
      </c>
      <c r="C39" s="5">
        <f t="shared" ref="C39:M39" si="78">C22/B22-1</f>
        <v>6.9024316849843004E-2</v>
      </c>
      <c r="D39" s="5">
        <f t="shared" si="78"/>
        <v>2.8001179561417677E-2</v>
      </c>
      <c r="E39" s="5">
        <f t="shared" si="78"/>
        <v>0.12539605961430644</v>
      </c>
      <c r="F39" s="5">
        <f t="shared" si="78"/>
        <v>-6.6863631097207721E-2</v>
      </c>
      <c r="G39" s="5">
        <f t="shared" si="78"/>
        <v>5.218589751548941E-2</v>
      </c>
      <c r="H39" s="5">
        <f t="shared" si="78"/>
        <v>4.1608647423945655E-2</v>
      </c>
      <c r="I39" s="5">
        <f t="shared" si="78"/>
        <v>9.2910227942176071E-2</v>
      </c>
      <c r="J39" s="5">
        <f t="shared" si="78"/>
        <v>-4.9570120971503706E-2</v>
      </c>
      <c r="K39" s="5">
        <f t="shared" si="78"/>
        <v>7.0304477122279607E-2</v>
      </c>
      <c r="L39" s="5">
        <f t="shared" si="78"/>
        <v>7.1548680266953602E-2</v>
      </c>
      <c r="M39" s="5">
        <f t="shared" si="78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A39" s="1"/>
      <c r="AB39" s="1"/>
    </row>
    <row r="40" spans="1:219" x14ac:dyDescent="0.2">
      <c r="A40" s="1" t="s">
        <v>31</v>
      </c>
      <c r="B40" s="4">
        <f t="shared" ref="B40:I40" si="79">B33/B32</f>
        <v>0.17324910738808019</v>
      </c>
      <c r="C40" s="4">
        <f t="shared" si="79"/>
        <v>0.16139341642697347</v>
      </c>
      <c r="D40" s="4">
        <f t="shared" si="79"/>
        <v>7.1142142756050381E-2</v>
      </c>
      <c r="E40" s="4">
        <f t="shared" si="79"/>
        <v>0.15258889070948714</v>
      </c>
      <c r="F40" s="4">
        <f t="shared" si="79"/>
        <v>0.16432986049796927</v>
      </c>
      <c r="G40" s="4">
        <f t="shared" si="79"/>
        <v>0.14271714275343908</v>
      </c>
      <c r="H40" s="4">
        <f t="shared" si="79"/>
        <v>0.17047246577934777</v>
      </c>
      <c r="I40" s="4">
        <f t="shared" si="79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80">O33/O32</f>
        <v>0.13329968454258675</v>
      </c>
      <c r="P40" s="4">
        <f t="shared" si="80"/>
        <v>0.16249324071378063</v>
      </c>
      <c r="Q40" s="4">
        <f t="shared" si="80"/>
        <v>0.18676474324770689</v>
      </c>
      <c r="R40" s="4">
        <f t="shared" si="80"/>
        <v>0.15173298415328293</v>
      </c>
      <c r="S40" s="4">
        <f t="shared" si="80"/>
        <v>0.13879413716427816</v>
      </c>
      <c r="T40" s="4">
        <f t="shared" si="80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  <c r="AB40" s="7"/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B41" s="4"/>
    </row>
    <row r="42" spans="1:219" x14ac:dyDescent="0.2">
      <c r="A42" s="1" t="s">
        <v>44</v>
      </c>
      <c r="B42" s="4">
        <f t="shared" ref="B42:M42" si="81">B34/B22</f>
        <v>0.21567054035851949</v>
      </c>
      <c r="C42" s="4">
        <f t="shared" si="81"/>
        <v>0.2462066377137955</v>
      </c>
      <c r="D42" s="4">
        <f t="shared" si="81"/>
        <v>0.25672486406842865</v>
      </c>
      <c r="E42" s="4">
        <f t="shared" si="81"/>
        <v>0.23968253968253969</v>
      </c>
      <c r="F42" s="4">
        <f t="shared" si="81"/>
        <v>0.29379555246526529</v>
      </c>
      <c r="G42" s="4">
        <f t="shared" si="81"/>
        <v>0.27871657501593072</v>
      </c>
      <c r="H42" s="4">
        <f t="shared" si="81"/>
        <v>0.29796755336022113</v>
      </c>
      <c r="I42" s="4">
        <f t="shared" si="81"/>
        <v>0.27507282132083882</v>
      </c>
      <c r="J42" s="4">
        <f t="shared" si="81"/>
        <v>0.27344103927804025</v>
      </c>
      <c r="K42" s="4">
        <f t="shared" si="81"/>
        <v>0.26086199919145003</v>
      </c>
      <c r="L42" s="4">
        <f t="shared" si="81"/>
        <v>0.26086199919145009</v>
      </c>
      <c r="M42" s="4">
        <f t="shared" si="81"/>
        <v>0.26086199919145003</v>
      </c>
      <c r="N42" s="4"/>
      <c r="O42" s="4">
        <f t="shared" ref="O42:Y42" si="82">O34/O22</f>
        <v>0.21218112284300339</v>
      </c>
      <c r="P42" s="4">
        <f t="shared" si="82"/>
        <v>0.22061941520980458</v>
      </c>
      <c r="Q42" s="4">
        <f t="shared" si="82"/>
        <v>0.24846198333313926</v>
      </c>
      <c r="R42" s="4">
        <f t="shared" si="82"/>
        <v>0.2244622325305124</v>
      </c>
      <c r="S42" s="4">
        <f t="shared" si="82"/>
        <v>0.24065206217427795</v>
      </c>
      <c r="T42" s="4">
        <f t="shared" si="82"/>
        <v>0.28604814609534368</v>
      </c>
      <c r="U42" s="4">
        <f t="shared" si="82"/>
        <v>0.27545374040820286</v>
      </c>
      <c r="V42" s="4">
        <f t="shared" si="82"/>
        <v>0.2959861342648753</v>
      </c>
      <c r="W42" s="4">
        <f t="shared" si="82"/>
        <v>0.3098151862527484</v>
      </c>
      <c r="X42" s="4">
        <f t="shared" si="82"/>
        <v>0.32319739211753179</v>
      </c>
      <c r="Y42" s="4">
        <f t="shared" si="82"/>
        <v>0.33614523417157183</v>
      </c>
    </row>
    <row r="43" spans="1:219" x14ac:dyDescent="0.2">
      <c r="A43" s="3" t="s">
        <v>17</v>
      </c>
      <c r="B43" s="5">
        <f t="shared" ref="B43:I43" si="83">B24/B22</f>
        <v>0.56135096794531936</v>
      </c>
      <c r="C43" s="5">
        <f t="shared" si="83"/>
        <v>0.5721945204010509</v>
      </c>
      <c r="D43" s="5">
        <f t="shared" si="83"/>
        <v>0.56672708069836886</v>
      </c>
      <c r="E43" s="5">
        <f t="shared" si="83"/>
        <v>0.56465067778936395</v>
      </c>
      <c r="F43" s="5">
        <f t="shared" si="83"/>
        <v>0.58142018152696207</v>
      </c>
      <c r="G43" s="5">
        <f t="shared" si="83"/>
        <v>0.58099879634655782</v>
      </c>
      <c r="H43" s="5">
        <f t="shared" si="83"/>
        <v>0.58678116644763678</v>
      </c>
      <c r="I43" s="5">
        <f t="shared" si="83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84">O24/O22</f>
        <v>0.5558054331910266</v>
      </c>
      <c r="P43" s="5">
        <f t="shared" si="84"/>
        <v>0.53578374706207854</v>
      </c>
      <c r="Q43" s="5">
        <f t="shared" si="84"/>
        <v>0.5693980290098084</v>
      </c>
      <c r="R43" s="5">
        <f t="shared" si="84"/>
        <v>0.55379442503783116</v>
      </c>
      <c r="S43" s="5">
        <f t="shared" si="84"/>
        <v>0.56625047984020505</v>
      </c>
      <c r="T43" s="5">
        <f t="shared" si="84"/>
        <v>0.58201578204549476</v>
      </c>
      <c r="U43" s="5">
        <f>T43*1.01</f>
        <v>0.58783593986594973</v>
      </c>
      <c r="V43" s="5">
        <f t="shared" ref="V43:Y43" si="85">U43*1.01</f>
        <v>0.59371429926460928</v>
      </c>
      <c r="W43" s="5">
        <f t="shared" si="85"/>
        <v>0.59965144225725542</v>
      </c>
      <c r="X43" s="5">
        <f t="shared" si="85"/>
        <v>0.60564795667982796</v>
      </c>
      <c r="Y43" s="5">
        <f t="shared" si="85"/>
        <v>0.61170443624662629</v>
      </c>
    </row>
    <row r="44" spans="1:219" x14ac:dyDescent="0.2">
      <c r="A44" s="1" t="s">
        <v>18</v>
      </c>
      <c r="B44" s="4">
        <f t="shared" ref="B44:M44" si="86">B29/B22</f>
        <v>0.24954504420594092</v>
      </c>
      <c r="C44" s="4">
        <f t="shared" si="86"/>
        <v>0.29271888906761029</v>
      </c>
      <c r="D44" s="4">
        <f t="shared" si="86"/>
        <v>0.27829136948613303</v>
      </c>
      <c r="E44" s="4">
        <f t="shared" si="86"/>
        <v>0.27455683003128256</v>
      </c>
      <c r="F44" s="4">
        <f t="shared" si="86"/>
        <v>0.31626913669154072</v>
      </c>
      <c r="G44" s="4">
        <f t="shared" si="86"/>
        <v>0.32362936914398999</v>
      </c>
      <c r="H44" s="4">
        <f t="shared" si="86"/>
        <v>0.32311823084243441</v>
      </c>
      <c r="I44" s="4">
        <f t="shared" si="86"/>
        <v>0.32105650519856122</v>
      </c>
      <c r="J44" s="4">
        <f t="shared" si="86"/>
        <v>0.32205185085364202</v>
      </c>
      <c r="K44" s="4">
        <f t="shared" si="86"/>
        <v>0.32205185085364202</v>
      </c>
      <c r="L44" s="4">
        <f t="shared" si="86"/>
        <v>0.32205185085364207</v>
      </c>
      <c r="M44" s="4">
        <f t="shared" si="86"/>
        <v>0.32205185085364202</v>
      </c>
      <c r="N44" s="4"/>
      <c r="O44" s="4">
        <f t="shared" ref="O44:Y44" si="87">O29/O22</f>
        <v>0.21148915400631421</v>
      </c>
      <c r="P44" s="4">
        <f t="shared" si="87"/>
        <v>0.22585151785763202</v>
      </c>
      <c r="Q44" s="4">
        <f t="shared" si="87"/>
        <v>0.3055228868524319</v>
      </c>
      <c r="R44" s="4">
        <f t="shared" si="87"/>
        <v>0.26461270842467011</v>
      </c>
      <c r="S44" s="4">
        <f t="shared" si="87"/>
        <v>0.27480367216015927</v>
      </c>
      <c r="T44" s="4">
        <f t="shared" si="87"/>
        <v>0.32110920009828064</v>
      </c>
      <c r="U44" s="4">
        <f t="shared" si="87"/>
        <v>0.33198495117648519</v>
      </c>
      <c r="V44" s="4">
        <f t="shared" si="87"/>
        <v>0.35323201697177942</v>
      </c>
      <c r="W44" s="4">
        <f t="shared" si="87"/>
        <v>0.36630055949532131</v>
      </c>
      <c r="X44" s="4">
        <f t="shared" si="87"/>
        <v>0.37903552558270126</v>
      </c>
      <c r="Y44" s="4">
        <f t="shared" si="87"/>
        <v>0.39144747479413017</v>
      </c>
    </row>
    <row r="45" spans="1:219" x14ac:dyDescent="0.2">
      <c r="A45" s="1" t="s">
        <v>106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8">Q103/Q22</f>
        <v>0</v>
      </c>
      <c r="R45" s="4">
        <f t="shared" si="88"/>
        <v>0.21217242500954617</v>
      </c>
      <c r="S45" s="4">
        <f t="shared" si="88"/>
        <v>0.22607793255561268</v>
      </c>
      <c r="T45" s="4">
        <f t="shared" si="88"/>
        <v>0.20354381774651589</v>
      </c>
      <c r="U45" s="4">
        <f t="shared" si="88"/>
        <v>0.1521403057892165</v>
      </c>
      <c r="V45" s="4">
        <f t="shared" si="88"/>
        <v>0.18979577894979532</v>
      </c>
      <c r="W45" s="4">
        <f t="shared" si="88"/>
        <v>0.21900898373725583</v>
      </c>
      <c r="X45" s="4">
        <f t="shared" si="88"/>
        <v>0.24617824470848923</v>
      </c>
      <c r="Y45" s="4">
        <f t="shared" si="88"/>
        <v>0.27144991584388622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104</v>
      </c>
      <c r="C47" s="4">
        <f t="shared" ref="C47:M47" si="89">C19/B19-1</f>
        <v>6.9785833023998878E-2</v>
      </c>
      <c r="D47" s="4">
        <f t="shared" si="89"/>
        <v>2.5661914460285207E-2</v>
      </c>
      <c r="E47" s="4">
        <f t="shared" si="89"/>
        <v>0.12245168122848815</v>
      </c>
      <c r="F47" s="4">
        <f t="shared" si="89"/>
        <v>-7.7485552541573299E-2</v>
      </c>
      <c r="G47" s="4">
        <f t="shared" si="89"/>
        <v>5.014346998494279E-2</v>
      </c>
      <c r="H47" s="4">
        <f t="shared" si="89"/>
        <v>3.4925873823179243E-2</v>
      </c>
      <c r="I47" s="4">
        <f t="shared" si="89"/>
        <v>9.9124297477453993E-2</v>
      </c>
      <c r="J47" s="4">
        <f t="shared" si="89"/>
        <v>-7.357457131305456E-2</v>
      </c>
      <c r="K47" s="4">
        <f t="shared" si="89"/>
        <v>6.2015674622581507E-2</v>
      </c>
      <c r="L47" s="4">
        <f t="shared" si="89"/>
        <v>6.3015078053849427E-2</v>
      </c>
      <c r="M47" s="4">
        <f t="shared" si="89"/>
        <v>6.4054389239795784E-2</v>
      </c>
      <c r="N47" s="4"/>
      <c r="O47" s="4"/>
      <c r="P47" s="4">
        <f t="shared" ref="P47:Y47" si="90">P19/O19-1</f>
        <v>0.12770532012826141</v>
      </c>
      <c r="Q47" s="4">
        <f t="shared" si="90"/>
        <v>0.41150076427049154</v>
      </c>
      <c r="R47" s="4">
        <f t="shared" si="90"/>
        <v>-1.5948796174462543E-2</v>
      </c>
      <c r="S47" s="4">
        <f t="shared" si="90"/>
        <v>7.5001577735003711E-2</v>
      </c>
      <c r="T47" s="4">
        <f t="shared" si="90"/>
        <v>0.11883262457667221</v>
      </c>
      <c r="U47" s="4">
        <f t="shared" si="90"/>
        <v>0.12216850224681064</v>
      </c>
      <c r="V47" s="4">
        <f t="shared" si="90"/>
        <v>0.10388001480843156</v>
      </c>
      <c r="W47" s="4">
        <f t="shared" si="90"/>
        <v>0.10466896434707929</v>
      </c>
      <c r="X47" s="4">
        <f t="shared" si="90"/>
        <v>0.10539802685306121</v>
      </c>
      <c r="Y47" s="4">
        <f t="shared" si="90"/>
        <v>0.10607098023462114</v>
      </c>
      <c r="AB47" s="7"/>
    </row>
    <row r="48" spans="1:219" x14ac:dyDescent="0.2">
      <c r="A48" s="1" t="s">
        <v>37</v>
      </c>
      <c r="C48" s="4">
        <f t="shared" ref="C48:M48" si="91">C20/B20-1</f>
        <v>7.7408103031929132E-2</v>
      </c>
      <c r="D48" s="4">
        <f t="shared" si="91"/>
        <v>4.731664798904256E-2</v>
      </c>
      <c r="E48" s="4">
        <f t="shared" si="91"/>
        <v>9.2854595172987775E-2</v>
      </c>
      <c r="F48" s="4">
        <f t="shared" si="91"/>
        <v>4.155787641427322E-2</v>
      </c>
      <c r="G48" s="4">
        <f t="shared" si="91"/>
        <v>8.0739502820137865E-2</v>
      </c>
      <c r="H48" s="4">
        <f t="shared" si="91"/>
        <v>9.7226249154344302E-2</v>
      </c>
      <c r="I48" s="4">
        <f t="shared" si="91"/>
        <v>5.3025631991544087E-2</v>
      </c>
      <c r="J48" s="4">
        <f t="shared" si="91"/>
        <v>0.12000000000000011</v>
      </c>
      <c r="K48" s="4">
        <f t="shared" si="91"/>
        <v>0.12000000000000011</v>
      </c>
      <c r="L48" s="4">
        <f t="shared" si="91"/>
        <v>0.12000000000000011</v>
      </c>
      <c r="M48" s="4">
        <f t="shared" si="91"/>
        <v>0.12000000000000011</v>
      </c>
      <c r="N48" s="4"/>
      <c r="O48" s="4"/>
      <c r="P48" s="4"/>
      <c r="Q48" s="4"/>
      <c r="R48" s="4"/>
      <c r="S48" s="4">
        <f t="shared" ref="S48:Y48" si="92">S20/R20-1</f>
        <v>0.25905631659056327</v>
      </c>
      <c r="T48" s="4">
        <f t="shared" si="92"/>
        <v>0.30648573500967125</v>
      </c>
      <c r="U48" s="4">
        <f t="shared" si="92"/>
        <v>0.48033242010687305</v>
      </c>
      <c r="V48" s="4">
        <f t="shared" si="92"/>
        <v>0.19999999999999996</v>
      </c>
      <c r="W48" s="4">
        <f t="shared" si="92"/>
        <v>0.19999999999999996</v>
      </c>
      <c r="X48" s="4">
        <f t="shared" si="92"/>
        <v>0.19999999999999996</v>
      </c>
      <c r="Y48" s="4">
        <f t="shared" si="92"/>
        <v>0.19999999999999996</v>
      </c>
      <c r="AB48" s="7"/>
    </row>
    <row r="49" spans="1:25" x14ac:dyDescent="0.2">
      <c r="A49" s="1" t="s">
        <v>52</v>
      </c>
      <c r="B49" s="4">
        <f t="shared" ref="B49:M49" si="93">B20/B22</f>
        <v>0.10681072406035508</v>
      </c>
      <c r="C49" s="4">
        <f t="shared" si="93"/>
        <v>0.10764838346469358</v>
      </c>
      <c r="D49" s="4">
        <f t="shared" si="93"/>
        <v>0.10967102603888229</v>
      </c>
      <c r="E49" s="4">
        <f t="shared" si="93"/>
        <v>0.10649982620785541</v>
      </c>
      <c r="F49" s="4">
        <f t="shared" si="93"/>
        <v>0.11887408584660848</v>
      </c>
      <c r="G49" s="4">
        <f t="shared" si="93"/>
        <v>0.1221000212409431</v>
      </c>
      <c r="H49" s="4">
        <f t="shared" si="93"/>
        <v>0.12861965831331854</v>
      </c>
      <c r="I49" s="4">
        <f t="shared" si="93"/>
        <v>0.12392582072997543</v>
      </c>
      <c r="J49" s="4">
        <f t="shared" si="93"/>
        <v>0.14603593834765272</v>
      </c>
      <c r="K49" s="4">
        <f t="shared" si="93"/>
        <v>0.1528165624319674</v>
      </c>
      <c r="L49" s="4">
        <f t="shared" si="93"/>
        <v>0.15972634101995625</v>
      </c>
      <c r="M49" s="4">
        <f t="shared" si="93"/>
        <v>0.16675069561299613</v>
      </c>
      <c r="O49" s="4">
        <f t="shared" ref="O49:Y49" si="94">O20/O22</f>
        <v>0</v>
      </c>
      <c r="P49" s="4">
        <f t="shared" si="94"/>
        <v>0</v>
      </c>
      <c r="Q49" s="4">
        <f t="shared" si="94"/>
        <v>0</v>
      </c>
      <c r="R49" s="4">
        <f t="shared" si="94"/>
        <v>9.2916036148156522E-2</v>
      </c>
      <c r="S49" s="4">
        <f t="shared" si="94"/>
        <v>0.10764035732642797</v>
      </c>
      <c r="T49" s="4">
        <f t="shared" si="94"/>
        <v>0.12350507688176036</v>
      </c>
      <c r="U49" s="4">
        <f t="shared" si="94"/>
        <v>0.15692859789168051</v>
      </c>
      <c r="V49" s="4">
        <f t="shared" si="94"/>
        <v>0.16832545488683004</v>
      </c>
      <c r="W49" s="4">
        <f t="shared" si="94"/>
        <v>0.18026612692452421</v>
      </c>
      <c r="X49" s="4">
        <f t="shared" si="94"/>
        <v>0.19275346592565937</v>
      </c>
      <c r="Y49" s="4">
        <f t="shared" si="94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83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5">U51*(1+V38)</f>
        <v>222159.49107839967</v>
      </c>
      <c r="W51" s="1">
        <f t="shared" si="95"/>
        <v>248932.60668226553</v>
      </c>
      <c r="X51" s="1">
        <f t="shared" si="95"/>
        <v>279366.91040862445</v>
      </c>
      <c r="Y51" s="1">
        <f t="shared" si="95"/>
        <v>314006.72395288927</v>
      </c>
    </row>
    <row r="52" spans="1:25" x14ac:dyDescent="0.2">
      <c r="A52" s="1" t="s">
        <v>84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6">U52*(1+V38)</f>
        <v>133111.65550208409</v>
      </c>
      <c r="W52" s="1">
        <f t="shared" si="96"/>
        <v>149153.34574759155</v>
      </c>
      <c r="X52" s="1">
        <f t="shared" si="96"/>
        <v>167388.71590172659</v>
      </c>
      <c r="Y52" s="1">
        <f t="shared" si="96"/>
        <v>188143.90806019894</v>
      </c>
    </row>
    <row r="53" spans="1:25" x14ac:dyDescent="0.2">
      <c r="A53" s="1" t="s">
        <v>85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7">U53*(1+V38)</f>
        <v>74052.29476388132</v>
      </c>
      <c r="W53" s="1">
        <f t="shared" si="97"/>
        <v>82976.561914571212</v>
      </c>
      <c r="X53" s="1">
        <f t="shared" si="97"/>
        <v>93121.210786144671</v>
      </c>
      <c r="Y53" s="1">
        <f t="shared" si="97"/>
        <v>104667.67981474246</v>
      </c>
    </row>
    <row r="54" spans="1:25" x14ac:dyDescent="0.2">
      <c r="A54" s="1" t="s">
        <v>86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8">U54*(1+V38)</f>
        <v>26612.685989420548</v>
      </c>
      <c r="W54" s="1">
        <f t="shared" si="98"/>
        <v>29819.86167687608</v>
      </c>
      <c r="X54" s="1">
        <f t="shared" si="98"/>
        <v>33465.614394640521</v>
      </c>
      <c r="Y54" s="1">
        <f t="shared" si="98"/>
        <v>37615.148929990508</v>
      </c>
    </row>
    <row r="56" spans="1:25" x14ac:dyDescent="0.2">
      <c r="A56" s="1" t="s">
        <v>53</v>
      </c>
      <c r="B56" s="1">
        <f t="shared" ref="B56:M56" si="99">B58-B73</f>
        <v>0</v>
      </c>
      <c r="C56" s="1">
        <f t="shared" si="99"/>
        <v>0</v>
      </c>
      <c r="D56" s="1">
        <f t="shared" si="99"/>
        <v>0</v>
      </c>
      <c r="E56" s="1">
        <f t="shared" si="99"/>
        <v>0</v>
      </c>
      <c r="F56" s="1">
        <f t="shared" si="99"/>
        <v>0</v>
      </c>
      <c r="G56" s="1">
        <f t="shared" si="99"/>
        <v>0</v>
      </c>
      <c r="H56" s="1">
        <f t="shared" si="99"/>
        <v>0</v>
      </c>
      <c r="I56" s="1">
        <f t="shared" si="99"/>
        <v>84774</v>
      </c>
      <c r="J56" s="1">
        <f t="shared" si="99"/>
        <v>71727.994037106459</v>
      </c>
      <c r="K56" s="1">
        <f t="shared" si="99"/>
        <v>114327.17190789701</v>
      </c>
      <c r="L56" s="1">
        <f t="shared" si="99"/>
        <v>141757.93717126161</v>
      </c>
      <c r="M56" s="1">
        <f t="shared" si="99"/>
        <v>171186.21416214595</v>
      </c>
      <c r="O56" s="1">
        <f t="shared" ref="O56:T56" si="100">O58-O73</f>
        <v>0</v>
      </c>
      <c r="P56" s="1">
        <f t="shared" si="100"/>
        <v>0</v>
      </c>
      <c r="Q56" s="1">
        <f t="shared" si="100"/>
        <v>0</v>
      </c>
      <c r="R56" s="1">
        <f t="shared" si="100"/>
        <v>0</v>
      </c>
      <c r="S56" s="1">
        <f t="shared" si="100"/>
        <v>99046</v>
      </c>
      <c r="T56" s="1">
        <f t="shared" si="100"/>
        <v>84774</v>
      </c>
      <c r="U56" s="1">
        <f>T56+U34</f>
        <v>197100.18770798953</v>
      </c>
      <c r="V56" s="1">
        <f>U56+V34</f>
        <v>332132.36043272412</v>
      </c>
      <c r="W56" s="1">
        <f>V56+W34</f>
        <v>490506.95125633001</v>
      </c>
      <c r="X56" s="1">
        <f>W56+X34</f>
        <v>675921.50911081745</v>
      </c>
      <c r="Y56" s="1">
        <f>X56+Y34</f>
        <v>892675.41060309834</v>
      </c>
    </row>
    <row r="58" spans="1:25" x14ac:dyDescent="0.2">
      <c r="A58" s="1" t="s">
        <v>3</v>
      </c>
      <c r="I58" s="1">
        <f>23466+72191</f>
        <v>95657</v>
      </c>
      <c r="J58" s="1">
        <f>I58+J34+J100</f>
        <v>88727.994037106459</v>
      </c>
      <c r="K58" s="1">
        <f t="shared" ref="K58:M58" si="101">J58+K34+K100</f>
        <v>114327.17190789701</v>
      </c>
      <c r="L58" s="1">
        <f t="shared" si="101"/>
        <v>141757.93717126161</v>
      </c>
      <c r="M58" s="1">
        <f t="shared" si="101"/>
        <v>171186.21416214595</v>
      </c>
      <c r="S58" s="1">
        <f>24048+86868</f>
        <v>110916</v>
      </c>
      <c r="T58" s="1">
        <f>23466+72191</f>
        <v>95657</v>
      </c>
      <c r="U58" s="1">
        <f>T58+U34+U100</f>
        <v>204568.4465838006</v>
      </c>
      <c r="V58" s="1">
        <f t="shared" ref="V58" si="102">U58+V34+V100</f>
        <v>335780.37331798801</v>
      </c>
      <c r="W58" s="1">
        <f t="shared" ref="W58" si="103">V58+W34+W100</f>
        <v>489874.32869370852</v>
      </c>
      <c r="X58" s="1">
        <f t="shared" ref="X58:Y58" si="104">W58+X34+X100</f>
        <v>670484.90399404324</v>
      </c>
      <c r="Y58" s="1">
        <f t="shared" si="104"/>
        <v>881839.15804221586</v>
      </c>
    </row>
    <row r="59" spans="1:25" x14ac:dyDescent="0.2">
      <c r="A59" s="1" t="s">
        <v>45</v>
      </c>
      <c r="I59" s="1">
        <v>52340</v>
      </c>
      <c r="J59" s="1">
        <f>J80*J22/90</f>
        <v>55012.212</v>
      </c>
      <c r="K59" s="1">
        <f t="shared" ref="K59:M59" si="105">K80*K22/90</f>
        <v>58879.816800000001</v>
      </c>
      <c r="L59" s="1">
        <f t="shared" si="105"/>
        <v>63092.589986400009</v>
      </c>
      <c r="M59" s="1">
        <f t="shared" si="105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6">V80*V22/360</f>
        <v>68431.671500477532</v>
      </c>
      <c r="W59" s="1">
        <f t="shared" si="106"/>
        <v>76678.580255780282</v>
      </c>
      <c r="X59" s="1">
        <f t="shared" si="106"/>
        <v>86053.242867934823</v>
      </c>
      <c r="Y59" s="1">
        <f t="shared" si="106"/>
        <v>96723.326463248741</v>
      </c>
    </row>
    <row r="60" spans="1:25" x14ac:dyDescent="0.2">
      <c r="A60" s="1" t="s">
        <v>62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7">U60*(1+V38)</f>
        <v>49505.487278390217</v>
      </c>
      <c r="W60" s="1">
        <f t="shared" si="107"/>
        <v>55471.544040116933</v>
      </c>
      <c r="X60" s="1">
        <f t="shared" si="107"/>
        <v>62253.451167461877</v>
      </c>
      <c r="Y60" s="1">
        <f t="shared" si="107"/>
        <v>69972.503999358407</v>
      </c>
    </row>
    <row r="61" spans="1:25" x14ac:dyDescent="0.2">
      <c r="A61" s="1" t="s">
        <v>89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8">U61*(1+V38)</f>
        <v>22392.298231866247</v>
      </c>
      <c r="W61" s="1">
        <f t="shared" si="108"/>
        <v>25090.862161266094</v>
      </c>
      <c r="X61" s="1">
        <f t="shared" si="108"/>
        <v>28158.451136248616</v>
      </c>
      <c r="Y61" s="1">
        <f t="shared" si="108"/>
        <v>31649.929406270792</v>
      </c>
    </row>
    <row r="62" spans="1:25" x14ac:dyDescent="0.2">
      <c r="A62" s="1" t="s">
        <v>49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9">U62*(1+V38)</f>
        <v>222927.18977796714</v>
      </c>
      <c r="W62" s="1">
        <f t="shared" si="109"/>
        <v>249792.82308581533</v>
      </c>
      <c r="X62" s="1">
        <f t="shared" si="109"/>
        <v>280332.29618972167</v>
      </c>
      <c r="Y62" s="1">
        <f t="shared" si="109"/>
        <v>315091.81175383768</v>
      </c>
    </row>
    <row r="63" spans="1:25" x14ac:dyDescent="0.2">
      <c r="A63" s="1" t="s">
        <v>64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10">U63*(1+V38)</f>
        <v>17710.509218544736</v>
      </c>
      <c r="W63" s="1">
        <f t="shared" si="110"/>
        <v>19844.856521960632</v>
      </c>
      <c r="X63" s="1">
        <f t="shared" si="110"/>
        <v>22271.072994141221</v>
      </c>
      <c r="Y63" s="1">
        <f t="shared" si="110"/>
        <v>25032.551849383439</v>
      </c>
    </row>
    <row r="64" spans="1:25" x14ac:dyDescent="0.2">
      <c r="A64" s="1" t="s">
        <v>65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11">U64*(1+V38)</f>
        <v>41558.697853495658</v>
      </c>
      <c r="W64" s="1">
        <f t="shared" si="111"/>
        <v>46567.062864491818</v>
      </c>
      <c r="X64" s="1">
        <f t="shared" si="111"/>
        <v>52260.315161774575</v>
      </c>
      <c r="Y64" s="1">
        <f t="shared" si="111"/>
        <v>58740.279343361137</v>
      </c>
    </row>
    <row r="65" spans="1:25" x14ac:dyDescent="0.2">
      <c r="A65" s="1" t="s">
        <v>13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12">U65*(1+V38)</f>
        <v>39868.196642393763</v>
      </c>
      <c r="W65" s="1">
        <f t="shared" si="112"/>
        <v>44672.834213551068</v>
      </c>
      <c r="X65" s="1">
        <f t="shared" si="112"/>
        <v>50134.499613246378</v>
      </c>
      <c r="Y65" s="1">
        <f t="shared" si="112"/>
        <v>56350.875476077483</v>
      </c>
    </row>
    <row r="66" spans="1:25" x14ac:dyDescent="0.2">
      <c r="A66" s="1" t="s">
        <v>58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13">SUM(U58:U65)</f>
        <v>617881.09287420602</v>
      </c>
      <c r="V66" s="1">
        <f t="shared" si="113"/>
        <v>798174.42382112332</v>
      </c>
      <c r="W66" s="1">
        <f t="shared" si="113"/>
        <v>1007992.8918366906</v>
      </c>
      <c r="X66" s="1">
        <f t="shared" si="113"/>
        <v>1251948.2331245726</v>
      </c>
      <c r="Y66" s="1">
        <f t="shared" si="113"/>
        <v>1535400.4363337532</v>
      </c>
    </row>
    <row r="68" spans="1:25" x14ac:dyDescent="0.2">
      <c r="A68" s="1" t="s">
        <v>46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14">U68*(1+V38)</f>
        <v>10410.20290907542</v>
      </c>
      <c r="W68" s="1">
        <f t="shared" si="114"/>
        <v>11664.768107219574</v>
      </c>
      <c r="X68" s="1">
        <f t="shared" si="114"/>
        <v>13090.893435693695</v>
      </c>
      <c r="Y68" s="1">
        <f t="shared" si="114"/>
        <v>14714.085341553247</v>
      </c>
    </row>
    <row r="69" spans="1:25" x14ac:dyDescent="0.2">
      <c r="A69" s="1" t="s">
        <v>51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5">U69*(1+V38)</f>
        <v>19640.834811175351</v>
      </c>
      <c r="W69" s="1">
        <f t="shared" si="115"/>
        <v>22007.811519680956</v>
      </c>
      <c r="X69" s="1">
        <f t="shared" si="115"/>
        <v>24698.469160193858</v>
      </c>
      <c r="Y69" s="1">
        <f t="shared" si="115"/>
        <v>27760.93051356779</v>
      </c>
    </row>
    <row r="70" spans="1:25" x14ac:dyDescent="0.2">
      <c r="A70" s="1" t="s">
        <v>66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6">U70*(1+V38)</f>
        <v>66770.235961702216</v>
      </c>
      <c r="W70" s="1">
        <f t="shared" si="116"/>
        <v>74816.920069693791</v>
      </c>
      <c r="X70" s="1">
        <f t="shared" si="116"/>
        <v>83963.977579030499</v>
      </c>
      <c r="Y70" s="1">
        <f t="shared" si="116"/>
        <v>94375.004867545984</v>
      </c>
    </row>
    <row r="71" spans="1:25" x14ac:dyDescent="0.2">
      <c r="A71" s="1" t="s">
        <v>67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7">U71*(1+V38)</f>
        <v>12775.861889915772</v>
      </c>
      <c r="W71" s="1">
        <f t="shared" si="117"/>
        <v>14315.519843115846</v>
      </c>
      <c r="X71" s="1">
        <f t="shared" si="117"/>
        <v>16065.72398355698</v>
      </c>
      <c r="Y71" s="1">
        <f t="shared" si="117"/>
        <v>18057.776952285582</v>
      </c>
    </row>
    <row r="72" spans="1:25" x14ac:dyDescent="0.2">
      <c r="A72" s="1" t="s">
        <v>68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8">U72*(1+V38)</f>
        <v>6563.8890509708053</v>
      </c>
      <c r="W72" s="1">
        <f t="shared" si="118"/>
        <v>7354.923273814672</v>
      </c>
      <c r="X72" s="1">
        <f t="shared" si="118"/>
        <v>8254.1303796360917</v>
      </c>
      <c r="Y72" s="1">
        <f t="shared" si="118"/>
        <v>9277.5928108253629</v>
      </c>
    </row>
    <row r="73" spans="1:25" x14ac:dyDescent="0.2">
      <c r="A73" s="1" t="s">
        <v>4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9">U73*(1+V38)</f>
        <v>14184.830131396997</v>
      </c>
      <c r="W73" s="1">
        <f t="shared" si="119"/>
        <v>15894.287130445804</v>
      </c>
      <c r="X73" s="1">
        <f t="shared" si="119"/>
        <v>17837.51011151302</v>
      </c>
      <c r="Y73" s="1">
        <f t="shared" si="119"/>
        <v>20049.253884077127</v>
      </c>
    </row>
    <row r="74" spans="1:25" x14ac:dyDescent="0.2">
      <c r="A74" s="1" t="s">
        <v>70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20">U74*(1+V38)</f>
        <v>11446.400644484831</v>
      </c>
      <c r="W74" s="1">
        <f t="shared" si="120"/>
        <v>12825.841181620421</v>
      </c>
      <c r="X74" s="1">
        <f t="shared" si="120"/>
        <v>14393.918386410671</v>
      </c>
      <c r="Y74" s="1">
        <f t="shared" si="120"/>
        <v>16178.677534683939</v>
      </c>
    </row>
    <row r="75" spans="1:25" x14ac:dyDescent="0.2">
      <c r="A75" s="1" t="s">
        <v>69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21">U75*(1+V38)</f>
        <v>21356.100496456838</v>
      </c>
      <c r="W75" s="1">
        <f t="shared" si="121"/>
        <v>23929.789086865247</v>
      </c>
      <c r="X75" s="1">
        <f t="shared" si="121"/>
        <v>26855.42618553164</v>
      </c>
      <c r="Y75" s="1">
        <f t="shared" si="121"/>
        <v>30185.337213140101</v>
      </c>
    </row>
    <row r="76" spans="1:25" x14ac:dyDescent="0.2">
      <c r="A76" s="1" t="s">
        <v>59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22">SUM(U68:U75)</f>
        <v>145830.76629033696</v>
      </c>
      <c r="V76" s="1">
        <f t="shared" si="122"/>
        <v>163148.35589517825</v>
      </c>
      <c r="W76" s="1">
        <f t="shared" si="122"/>
        <v>182809.86021245632</v>
      </c>
      <c r="X76" s="1">
        <f t="shared" si="122"/>
        <v>205160.04922156644</v>
      </c>
      <c r="Y76" s="1">
        <f t="shared" si="122"/>
        <v>230598.65911767911</v>
      </c>
    </row>
    <row r="77" spans="1:25" x14ac:dyDescent="0.2">
      <c r="A77" s="1" t="s">
        <v>60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23">U66-U76</f>
        <v>472050.32658386906</v>
      </c>
      <c r="V77" s="1">
        <f t="shared" si="123"/>
        <v>635026.06792594504</v>
      </c>
      <c r="W77" s="1">
        <f t="shared" si="123"/>
        <v>825183.03162423428</v>
      </c>
      <c r="X77" s="1">
        <f t="shared" si="123"/>
        <v>1046788.1839030061</v>
      </c>
      <c r="Y77" s="1">
        <f t="shared" si="123"/>
        <v>1304801.7772160741</v>
      </c>
    </row>
    <row r="78" spans="1:25" x14ac:dyDescent="0.2">
      <c r="A78" s="1" t="s">
        <v>61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24">U76+U77</f>
        <v>617881.09287420602</v>
      </c>
      <c r="V78" s="1">
        <f t="shared" si="124"/>
        <v>798174.42382112332</v>
      </c>
      <c r="W78" s="1">
        <f t="shared" si="124"/>
        <v>1007992.8918366906</v>
      </c>
      <c r="X78" s="1">
        <f t="shared" si="124"/>
        <v>1251948.2331245726</v>
      </c>
      <c r="Y78" s="1">
        <f t="shared" si="124"/>
        <v>1535400.4363337532</v>
      </c>
    </row>
    <row r="80" spans="1:25" x14ac:dyDescent="0.2">
      <c r="A80" s="1" t="s">
        <v>55</v>
      </c>
      <c r="B80" s="1">
        <f t="shared" ref="B80:I80" si="125">(B59/B22)*90</f>
        <v>0</v>
      </c>
      <c r="C80" s="1">
        <f t="shared" si="125"/>
        <v>0</v>
      </c>
      <c r="D80" s="1">
        <f t="shared" si="125"/>
        <v>0</v>
      </c>
      <c r="E80" s="1">
        <f t="shared" si="125"/>
        <v>0</v>
      </c>
      <c r="F80" s="1">
        <f t="shared" si="125"/>
        <v>0</v>
      </c>
      <c r="G80" s="1">
        <f t="shared" si="125"/>
        <v>0</v>
      </c>
      <c r="H80" s="1">
        <f t="shared" si="125"/>
        <v>0</v>
      </c>
      <c r="I80" s="1">
        <f t="shared" si="125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6">(Q59/Q22)*360</f>
        <v>0</v>
      </c>
      <c r="R80" s="1">
        <f t="shared" si="126"/>
        <v>0</v>
      </c>
      <c r="S80" s="1">
        <f t="shared" si="126"/>
        <v>56.172339082740713</v>
      </c>
      <c r="T80" s="1">
        <f t="shared" si="126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56</v>
      </c>
      <c r="B82" s="1">
        <f t="shared" ref="B82:M82" si="127">+B34</f>
        <v>15051</v>
      </c>
      <c r="C82" s="1">
        <f t="shared" si="127"/>
        <v>18368</v>
      </c>
      <c r="D82" s="1">
        <f t="shared" si="127"/>
        <v>19689</v>
      </c>
      <c r="E82" s="1">
        <f t="shared" si="127"/>
        <v>20687</v>
      </c>
      <c r="F82" s="1">
        <f t="shared" si="127"/>
        <v>23662</v>
      </c>
      <c r="G82" s="1">
        <f t="shared" si="127"/>
        <v>23619</v>
      </c>
      <c r="H82" s="1">
        <f t="shared" si="127"/>
        <v>26301</v>
      </c>
      <c r="I82" s="1">
        <f t="shared" si="127"/>
        <v>26536</v>
      </c>
      <c r="J82" s="1">
        <f t="shared" si="127"/>
        <v>25070.994037106462</v>
      </c>
      <c r="K82" s="1">
        <f t="shared" si="127"/>
        <v>25599.177870790547</v>
      </c>
      <c r="L82" s="1">
        <f t="shared" si="127"/>
        <v>27430.765263364614</v>
      </c>
      <c r="M82" s="1">
        <f t="shared" si="127"/>
        <v>29428.276990884337</v>
      </c>
      <c r="R82" s="1">
        <f t="shared" ref="R82:Y82" si="128">+R34</f>
        <v>63486</v>
      </c>
      <c r="S82" s="1">
        <f t="shared" si="128"/>
        <v>73975</v>
      </c>
      <c r="T82" s="1">
        <f t="shared" si="128"/>
        <v>100122</v>
      </c>
      <c r="U82" s="1">
        <f t="shared" si="128"/>
        <v>112326.18770798953</v>
      </c>
      <c r="V82" s="1">
        <f t="shared" si="128"/>
        <v>135032.17272473456</v>
      </c>
      <c r="W82" s="1">
        <f t="shared" si="128"/>
        <v>158374.59082360589</v>
      </c>
      <c r="X82" s="1">
        <f t="shared" si="128"/>
        <v>185414.5578544875</v>
      </c>
      <c r="Y82" s="1">
        <f t="shared" si="128"/>
        <v>216753.90149228091</v>
      </c>
    </row>
    <row r="83" spans="1:28" x14ac:dyDescent="0.2">
      <c r="A83" s="1" t="s">
        <v>57</v>
      </c>
      <c r="C83" s="1">
        <v>18368</v>
      </c>
      <c r="G83" s="1">
        <v>23619</v>
      </c>
      <c r="I83" s="1">
        <v>26536</v>
      </c>
      <c r="J83" s="1">
        <f>J82</f>
        <v>25070.994037106462</v>
      </c>
      <c r="K83" s="1">
        <f t="shared" ref="K83:M83" si="129">K82</f>
        <v>25599.177870790547</v>
      </c>
      <c r="L83" s="1">
        <f t="shared" si="129"/>
        <v>27430.765263364614</v>
      </c>
      <c r="M83" s="1">
        <f t="shared" si="129"/>
        <v>29428.276990884337</v>
      </c>
      <c r="R83" s="1">
        <v>59972</v>
      </c>
      <c r="S83" s="1">
        <v>73795</v>
      </c>
      <c r="T83" s="1">
        <v>100118</v>
      </c>
      <c r="U83" s="1">
        <f>U82</f>
        <v>112326.18770798953</v>
      </c>
      <c r="V83" s="1">
        <f t="shared" ref="V83:Y83" si="130">V82</f>
        <v>135032.17272473456</v>
      </c>
      <c r="W83" s="1">
        <f t="shared" si="130"/>
        <v>158374.59082360589</v>
      </c>
      <c r="X83" s="1">
        <f t="shared" si="130"/>
        <v>185414.5578544875</v>
      </c>
      <c r="Y83" s="1">
        <f t="shared" si="130"/>
        <v>216753.90149228091</v>
      </c>
    </row>
    <row r="84" spans="1:28" x14ac:dyDescent="0.2">
      <c r="A84" s="1" t="s">
        <v>71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31">U84*1.15</f>
        <v>20248.797499999997</v>
      </c>
      <c r="W84" s="1">
        <f t="shared" si="131"/>
        <v>23286.117124999993</v>
      </c>
      <c r="X84" s="1">
        <f t="shared" si="131"/>
        <v>26779.034693749989</v>
      </c>
      <c r="Y84" s="1">
        <f t="shared" si="131"/>
        <v>30795.889897812485</v>
      </c>
    </row>
    <row r="85" spans="1:28" x14ac:dyDescent="0.2">
      <c r="A85" s="1" t="s">
        <v>72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32">U85*1.05</f>
        <v>25120.462500000001</v>
      </c>
      <c r="W85" s="1">
        <f t="shared" si="132"/>
        <v>26376.485625000001</v>
      </c>
      <c r="X85" s="1">
        <f t="shared" si="132"/>
        <v>27695.309906250004</v>
      </c>
      <c r="Y85" s="1">
        <f t="shared" si="132"/>
        <v>29080.075401562506</v>
      </c>
    </row>
    <row r="86" spans="1:28" x14ac:dyDescent="0.2">
      <c r="A86" s="1" t="s">
        <v>63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33">U86*(1+V38)</f>
        <v>-6851.9389874808421</v>
      </c>
      <c r="W86" s="1">
        <f t="shared" si="133"/>
        <v>-7677.6869838053462</v>
      </c>
      <c r="X86" s="1">
        <f t="shared" si="133"/>
        <v>-8616.3549256844562</v>
      </c>
      <c r="Y86" s="1">
        <f t="shared" si="133"/>
        <v>-9684.7310179723827</v>
      </c>
    </row>
    <row r="87" spans="1:28" x14ac:dyDescent="0.2">
      <c r="A87" s="1" t="s">
        <v>73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34">U87*(1+V38)</f>
        <v>-3481.363712300044</v>
      </c>
      <c r="W87" s="1">
        <f t="shared" si="134"/>
        <v>-3900.9134361316496</v>
      </c>
      <c r="X87" s="1">
        <f t="shared" si="134"/>
        <v>-4377.8360293899914</v>
      </c>
      <c r="Y87" s="1">
        <f t="shared" si="134"/>
        <v>-4920.6613180529266</v>
      </c>
    </row>
    <row r="88" spans="1:28" x14ac:dyDescent="0.2">
      <c r="A88" s="1" t="s">
        <v>13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5">U88*(1+V38)</f>
        <v>4456.3019589494006</v>
      </c>
      <c r="W88" s="1">
        <f t="shared" si="135"/>
        <v>4993.3444545616285</v>
      </c>
      <c r="X88" s="1">
        <f t="shared" si="135"/>
        <v>5603.826800630618</v>
      </c>
      <c r="Y88" s="1">
        <f t="shared" si="135"/>
        <v>6298.6675576274638</v>
      </c>
    </row>
    <row r="89" spans="1:28" x14ac:dyDescent="0.2">
      <c r="A89" s="1" t="s">
        <v>45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6">U89*(1+V38)</f>
        <v>-7678.2903890526241</v>
      </c>
      <c r="W89" s="1">
        <f t="shared" si="136"/>
        <v>-8603.6245047740722</v>
      </c>
      <c r="X89" s="1">
        <f t="shared" si="136"/>
        <v>-9655.4968360675557</v>
      </c>
      <c r="Y89" s="1">
        <f t="shared" si="136"/>
        <v>-10852.720263814974</v>
      </c>
    </row>
    <row r="90" spans="1:28" x14ac:dyDescent="0.2">
      <c r="A90" s="1" t="s">
        <v>14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7">U90*(1+V38)</f>
        <v>-3151.6051876980555</v>
      </c>
      <c r="W90" s="1">
        <f t="shared" si="137"/>
        <v>-3531.4147093097449</v>
      </c>
      <c r="X90" s="1">
        <f t="shared" si="137"/>
        <v>-3963.1626802938972</v>
      </c>
      <c r="Y90" s="1">
        <f t="shared" si="137"/>
        <v>-4454.5709723144801</v>
      </c>
    </row>
    <row r="91" spans="1:28" x14ac:dyDescent="0.2">
      <c r="A91" s="1" t="s">
        <v>74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8">U91*(1+V38)</f>
        <v>-1820.8405488892404</v>
      </c>
      <c r="W91" s="1">
        <f t="shared" si="138"/>
        <v>-2040.2755785383431</v>
      </c>
      <c r="X91" s="1">
        <f t="shared" si="138"/>
        <v>-2289.7180580523468</v>
      </c>
      <c r="Y91" s="1">
        <f t="shared" si="138"/>
        <v>-2573.6293003818569</v>
      </c>
    </row>
    <row r="92" spans="1:28" x14ac:dyDescent="0.2">
      <c r="A92" s="1" t="s">
        <v>46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9">U92*(1+V38)</f>
        <v>-1513.2397117111009</v>
      </c>
      <c r="W92" s="1">
        <f t="shared" si="139"/>
        <v>-1695.6048294080288</v>
      </c>
      <c r="X92" s="1">
        <f t="shared" si="139"/>
        <v>-1902.9081355753576</v>
      </c>
      <c r="Y92" s="1">
        <f t="shared" si="139"/>
        <v>-2138.857278270104</v>
      </c>
    </row>
    <row r="93" spans="1:28" x14ac:dyDescent="0.2">
      <c r="A93" s="1" t="s">
        <v>75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40">U93*(1+V38)</f>
        <v>-1513.2397117111009</v>
      </c>
      <c r="W93" s="1">
        <f t="shared" si="140"/>
        <v>-1695.6048294080288</v>
      </c>
      <c r="X93" s="1">
        <f t="shared" si="140"/>
        <v>-1902.9081355753576</v>
      </c>
      <c r="Y93" s="1">
        <f t="shared" si="140"/>
        <v>-2138.857278270104</v>
      </c>
    </row>
    <row r="94" spans="1:28" x14ac:dyDescent="0.2">
      <c r="A94" s="1" t="s">
        <v>76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41">U94*(1+V38)</f>
        <v>1380.2935871680068</v>
      </c>
      <c r="W94" s="1">
        <f t="shared" si="141"/>
        <v>1546.636963258486</v>
      </c>
      <c r="X94" s="1">
        <f t="shared" si="141"/>
        <v>1735.7275758607266</v>
      </c>
      <c r="Y94" s="1">
        <f t="shared" si="141"/>
        <v>1950.9473365099398</v>
      </c>
    </row>
    <row r="95" spans="1:28" x14ac:dyDescent="0.2">
      <c r="A95" s="1" t="s">
        <v>68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42">U95*(1+V38)</f>
        <v>1359.4392931220314</v>
      </c>
      <c r="W95" s="1">
        <f t="shared" si="142"/>
        <v>1523.2694548428717</v>
      </c>
      <c r="X95" s="1">
        <f t="shared" si="142"/>
        <v>1709.5031743368629</v>
      </c>
      <c r="Y95" s="1">
        <f t="shared" si="142"/>
        <v>1921.4712672142277</v>
      </c>
    </row>
    <row r="96" spans="1:28" x14ac:dyDescent="0.2">
      <c r="A96" s="3" t="s">
        <v>19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43">SUM(S83:S95)</f>
        <v>101746</v>
      </c>
      <c r="T96" s="3">
        <f t="shared" si="143"/>
        <v>123779</v>
      </c>
      <c r="U96" s="3">
        <f t="shared" si="143"/>
        <v>137040.69155388948</v>
      </c>
      <c r="V96" s="3">
        <f t="shared" si="143"/>
        <v>161586.94931513094</v>
      </c>
      <c r="W96" s="3">
        <f t="shared" si="143"/>
        <v>186955.31957489366</v>
      </c>
      <c r="X96" s="3">
        <f t="shared" si="143"/>
        <v>216229.57520467674</v>
      </c>
      <c r="Y96" s="3">
        <f t="shared" si="143"/>
        <v>250036.92552393069</v>
      </c>
      <c r="AA96" s="1" t="s">
        <v>54</v>
      </c>
      <c r="AB96" s="9">
        <v>0.02</v>
      </c>
    </row>
    <row r="97" spans="1:162" x14ac:dyDescent="0.2">
      <c r="A97" s="1" t="s">
        <v>77</v>
      </c>
      <c r="I97" s="1">
        <v>-14276</v>
      </c>
      <c r="Q97" s="4"/>
      <c r="R97" s="1">
        <v>-31485</v>
      </c>
      <c r="S97" s="1">
        <v>-32251</v>
      </c>
      <c r="T97" s="1">
        <v>-52535</v>
      </c>
      <c r="U97" s="1">
        <v>-75000</v>
      </c>
      <c r="V97" s="1">
        <f>U97*1</f>
        <v>-75000</v>
      </c>
      <c r="W97" s="1">
        <f t="shared" ref="W97:Y97" si="144">V97*1</f>
        <v>-75000</v>
      </c>
      <c r="X97" s="1">
        <f t="shared" si="144"/>
        <v>-75000</v>
      </c>
      <c r="Y97" s="1">
        <f t="shared" si="144"/>
        <v>-75000</v>
      </c>
      <c r="AA97" s="1" t="s">
        <v>28</v>
      </c>
      <c r="AB97" s="9">
        <v>0.01</v>
      </c>
    </row>
    <row r="98" spans="1:162" x14ac:dyDescent="0.2">
      <c r="A98" s="1" t="s">
        <v>78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5">U98*(1+V38)</f>
        <v>-119538.11686490974</v>
      </c>
      <c r="W98" s="1">
        <f t="shared" si="145"/>
        <v>-133944.01870757842</v>
      </c>
      <c r="X98" s="1">
        <f t="shared" si="145"/>
        <v>-150319.90855988179</v>
      </c>
      <c r="Y98" s="1">
        <f t="shared" si="145"/>
        <v>-168958.67145735232</v>
      </c>
      <c r="AA98" s="1" t="s">
        <v>29</v>
      </c>
      <c r="AB98" s="9">
        <v>0.08</v>
      </c>
    </row>
    <row r="99" spans="1:162" x14ac:dyDescent="0.2">
      <c r="A99" s="1" t="s">
        <v>79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6">U99*(1+V38)</f>
        <v>135956.96324598187</v>
      </c>
      <c r="W99" s="1">
        <f t="shared" si="146"/>
        <v>152341.55017704694</v>
      </c>
      <c r="X99" s="1">
        <f t="shared" si="146"/>
        <v>170966.70768463874</v>
      </c>
      <c r="Y99" s="1">
        <f t="shared" si="146"/>
        <v>192165.54926473263</v>
      </c>
      <c r="AA99" s="1" t="s">
        <v>27</v>
      </c>
      <c r="AB99" s="1">
        <f>NPV(AB98,U103:FF103)+Main!N5-Main!N6</f>
        <v>2246920.4039283502</v>
      </c>
    </row>
    <row r="100" spans="1:162" x14ac:dyDescent="0.2">
      <c r="A100" s="1" t="s">
        <v>80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7">U100*(1+V38)</f>
        <v>-3820.2459905471464</v>
      </c>
      <c r="W100" s="1">
        <f t="shared" si="147"/>
        <v>-4280.6354478853855</v>
      </c>
      <c r="X100" s="1">
        <f t="shared" si="147"/>
        <v>-4803.9825541527762</v>
      </c>
      <c r="Y100" s="1">
        <f t="shared" si="147"/>
        <v>-5399.6474441082473</v>
      </c>
      <c r="AA100" s="1" t="s">
        <v>0</v>
      </c>
      <c r="AB100" s="7">
        <f>AB99/Main!N3</f>
        <v>183.42207379006939</v>
      </c>
    </row>
    <row r="101" spans="1:162" x14ac:dyDescent="0.2">
      <c r="A101" s="1" t="s">
        <v>81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8">U101*(1+V38)</f>
        <v>-3476.1501387885496</v>
      </c>
      <c r="W101" s="1">
        <f t="shared" si="148"/>
        <v>-3895.0715590277455</v>
      </c>
      <c r="X101" s="1">
        <f t="shared" si="148"/>
        <v>-4371.2799290090252</v>
      </c>
      <c r="Y101" s="1">
        <f t="shared" si="148"/>
        <v>-4913.2923007289983</v>
      </c>
      <c r="AA101" s="1" t="s">
        <v>30</v>
      </c>
      <c r="AB101" s="4">
        <f>AB100/Main!N2-1</f>
        <v>1.793703196664298E-2</v>
      </c>
    </row>
    <row r="102" spans="1:162" x14ac:dyDescent="0.2">
      <c r="A102" s="1" t="s">
        <v>82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9">S97</f>
        <v>-32251</v>
      </c>
      <c r="T102" s="1">
        <f t="shared" si="149"/>
        <v>-52535</v>
      </c>
      <c r="U102" s="1">
        <f t="shared" si="149"/>
        <v>-75000</v>
      </c>
      <c r="V102" s="1">
        <f t="shared" si="149"/>
        <v>-75000</v>
      </c>
      <c r="W102" s="1">
        <f t="shared" si="149"/>
        <v>-75000</v>
      </c>
      <c r="X102" s="1">
        <f t="shared" si="149"/>
        <v>-75000</v>
      </c>
      <c r="Y102" s="1">
        <f t="shared" si="149"/>
        <v>-75000</v>
      </c>
    </row>
    <row r="103" spans="1:162" x14ac:dyDescent="0.2">
      <c r="A103" s="3" t="s">
        <v>20</v>
      </c>
      <c r="B103" s="3">
        <f>B96+B102</f>
        <v>0</v>
      </c>
      <c r="C103" s="3">
        <f t="shared" ref="C103:K103" si="150">C96+C102</f>
        <v>39466</v>
      </c>
      <c r="D103" s="3">
        <f t="shared" si="150"/>
        <v>0</v>
      </c>
      <c r="E103" s="3">
        <f t="shared" si="150"/>
        <v>0</v>
      </c>
      <c r="F103" s="3">
        <f t="shared" si="150"/>
        <v>0</v>
      </c>
      <c r="G103" s="3">
        <f t="shared" si="150"/>
        <v>40386</v>
      </c>
      <c r="H103" s="3">
        <f t="shared" si="150"/>
        <v>0</v>
      </c>
      <c r="I103" s="3">
        <f t="shared" si="150"/>
        <v>24837</v>
      </c>
      <c r="J103" s="3">
        <f t="shared" si="150"/>
        <v>0</v>
      </c>
      <c r="K103" s="3">
        <f t="shared" si="150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62040.691553889483</v>
      </c>
      <c r="V103" s="3">
        <f t="shared" ref="V103:Y103" si="151">V96+V102</f>
        <v>86586.949315130943</v>
      </c>
      <c r="W103" s="3">
        <f t="shared" si="151"/>
        <v>111955.31957489366</v>
      </c>
      <c r="X103" s="3">
        <f t="shared" si="151"/>
        <v>141229.57520467674</v>
      </c>
      <c r="Y103" s="3">
        <f t="shared" si="151"/>
        <v>175036.92552393069</v>
      </c>
      <c r="Z103" s="3">
        <f t="shared" ref="Z103:BE103" si="152">Y103*(1+$AB$97)</f>
        <v>176787.29477917001</v>
      </c>
      <c r="AA103" s="3">
        <f t="shared" si="152"/>
        <v>178555.16772696172</v>
      </c>
      <c r="AB103" s="3">
        <f t="shared" si="152"/>
        <v>180340.71940423135</v>
      </c>
      <c r="AC103" s="3">
        <f t="shared" si="152"/>
        <v>182144.12659827367</v>
      </c>
      <c r="AD103" s="3">
        <f t="shared" si="152"/>
        <v>183965.56786425642</v>
      </c>
      <c r="AE103" s="3">
        <f t="shared" si="152"/>
        <v>185805.22354289898</v>
      </c>
      <c r="AF103" s="3">
        <f t="shared" si="152"/>
        <v>187663.27577832798</v>
      </c>
      <c r="AG103" s="3">
        <f t="shared" si="152"/>
        <v>189539.90853611127</v>
      </c>
      <c r="AH103" s="3">
        <f t="shared" si="152"/>
        <v>191435.30762147237</v>
      </c>
      <c r="AI103" s="3">
        <f t="shared" si="152"/>
        <v>193349.6606976871</v>
      </c>
      <c r="AJ103" s="3">
        <f t="shared" si="152"/>
        <v>195283.15730466397</v>
      </c>
      <c r="AK103" s="3">
        <f t="shared" si="152"/>
        <v>197235.9888777106</v>
      </c>
      <c r="AL103" s="3">
        <f t="shared" si="152"/>
        <v>199208.3487664877</v>
      </c>
      <c r="AM103" s="3">
        <f t="shared" si="152"/>
        <v>201200.43225415258</v>
      </c>
      <c r="AN103" s="3">
        <f t="shared" si="152"/>
        <v>203212.4365766941</v>
      </c>
      <c r="AO103" s="3">
        <f t="shared" si="152"/>
        <v>205244.56094246104</v>
      </c>
      <c r="AP103" s="3">
        <f t="shared" si="152"/>
        <v>207297.00655188566</v>
      </c>
      <c r="AQ103" s="3">
        <f t="shared" si="152"/>
        <v>209369.97661740452</v>
      </c>
      <c r="AR103" s="3">
        <f t="shared" si="152"/>
        <v>211463.67638357857</v>
      </c>
      <c r="AS103" s="3">
        <f t="shared" si="152"/>
        <v>213578.31314741436</v>
      </c>
      <c r="AT103" s="3">
        <f t="shared" si="152"/>
        <v>215714.09627888849</v>
      </c>
      <c r="AU103" s="3">
        <f t="shared" si="152"/>
        <v>217871.23724167739</v>
      </c>
      <c r="AV103" s="3">
        <f t="shared" si="152"/>
        <v>220049.94961409416</v>
      </c>
      <c r="AW103" s="3">
        <f t="shared" si="152"/>
        <v>222250.44911023512</v>
      </c>
      <c r="AX103" s="3">
        <f t="shared" si="152"/>
        <v>224472.95360133747</v>
      </c>
      <c r="AY103" s="3">
        <f t="shared" si="152"/>
        <v>226717.68313735086</v>
      </c>
      <c r="AZ103" s="3">
        <f t="shared" si="152"/>
        <v>228984.85996872437</v>
      </c>
      <c r="BA103" s="3">
        <f t="shared" si="152"/>
        <v>231274.70856841162</v>
      </c>
      <c r="BB103" s="3">
        <f t="shared" si="152"/>
        <v>233587.45565409574</v>
      </c>
      <c r="BC103" s="3">
        <f t="shared" si="152"/>
        <v>235923.33021063669</v>
      </c>
      <c r="BD103" s="3">
        <f t="shared" si="152"/>
        <v>238282.56351274307</v>
      </c>
      <c r="BE103" s="3">
        <f t="shared" si="152"/>
        <v>240665.3891478705</v>
      </c>
      <c r="BF103" s="3">
        <f t="shared" ref="BF103:CK103" si="153">BE103*(1+$AB$97)</f>
        <v>243072.0430393492</v>
      </c>
      <c r="BG103" s="3">
        <f t="shared" si="153"/>
        <v>245502.7634697427</v>
      </c>
      <c r="BH103" s="3">
        <f t="shared" si="153"/>
        <v>247957.79110444014</v>
      </c>
      <c r="BI103" s="3">
        <f t="shared" si="153"/>
        <v>250437.36901548455</v>
      </c>
      <c r="BJ103" s="3">
        <f t="shared" si="153"/>
        <v>252941.74270563939</v>
      </c>
      <c r="BK103" s="3">
        <f t="shared" si="153"/>
        <v>255471.16013269578</v>
      </c>
      <c r="BL103" s="3">
        <f t="shared" si="153"/>
        <v>258025.87173402274</v>
      </c>
      <c r="BM103" s="3">
        <f t="shared" si="153"/>
        <v>260606.13045136299</v>
      </c>
      <c r="BN103" s="3">
        <f t="shared" si="153"/>
        <v>263212.19175587664</v>
      </c>
      <c r="BO103" s="3">
        <f t="shared" si="153"/>
        <v>265844.31367343542</v>
      </c>
      <c r="BP103" s="3">
        <f t="shared" si="153"/>
        <v>268502.75681016978</v>
      </c>
      <c r="BQ103" s="3">
        <f t="shared" si="153"/>
        <v>271187.78437827149</v>
      </c>
      <c r="BR103" s="3">
        <f t="shared" si="153"/>
        <v>273899.6622220542</v>
      </c>
      <c r="BS103" s="3">
        <f t="shared" si="153"/>
        <v>276638.65884427476</v>
      </c>
      <c r="BT103" s="3">
        <f t="shared" si="153"/>
        <v>279405.04543271748</v>
      </c>
      <c r="BU103" s="3">
        <f t="shared" si="153"/>
        <v>282199.09588704468</v>
      </c>
      <c r="BV103" s="3">
        <f t="shared" si="153"/>
        <v>285021.08684591512</v>
      </c>
      <c r="BW103" s="3">
        <f t="shared" si="153"/>
        <v>287871.29771437426</v>
      </c>
      <c r="BX103" s="3">
        <f t="shared" si="153"/>
        <v>290750.01069151802</v>
      </c>
      <c r="BY103" s="3">
        <f t="shared" si="153"/>
        <v>293657.51079843321</v>
      </c>
      <c r="BZ103" s="3">
        <f t="shared" si="153"/>
        <v>296594.08590641757</v>
      </c>
      <c r="CA103" s="3">
        <f t="shared" si="153"/>
        <v>299560.02676548174</v>
      </c>
      <c r="CB103" s="3">
        <f t="shared" si="153"/>
        <v>302555.62703313655</v>
      </c>
      <c r="CC103" s="3">
        <f t="shared" si="153"/>
        <v>305581.18330346793</v>
      </c>
      <c r="CD103" s="3">
        <f t="shared" si="153"/>
        <v>308636.99513650261</v>
      </c>
      <c r="CE103" s="3">
        <f t="shared" si="153"/>
        <v>311723.36508786766</v>
      </c>
      <c r="CF103" s="3">
        <f t="shared" si="153"/>
        <v>314840.59873874631</v>
      </c>
      <c r="CG103" s="3">
        <f t="shared" si="153"/>
        <v>317989.00472613377</v>
      </c>
      <c r="CH103" s="3">
        <f t="shared" si="153"/>
        <v>321168.89477339509</v>
      </c>
      <c r="CI103" s="3">
        <f t="shared" si="153"/>
        <v>324380.58372112905</v>
      </c>
      <c r="CJ103" s="3">
        <f t="shared" si="153"/>
        <v>327624.38955834036</v>
      </c>
      <c r="CK103" s="3">
        <f t="shared" si="153"/>
        <v>330900.63345392374</v>
      </c>
      <c r="CL103" s="3">
        <f t="shared" ref="CL103:DQ103" si="154">CK103*(1+$AB$97)</f>
        <v>334209.63978846296</v>
      </c>
      <c r="CM103" s="3">
        <f t="shared" si="154"/>
        <v>337551.73618634761</v>
      </c>
      <c r="CN103" s="3">
        <f t="shared" si="154"/>
        <v>340927.25354821107</v>
      </c>
      <c r="CO103" s="3">
        <f t="shared" si="154"/>
        <v>344336.5260836932</v>
      </c>
      <c r="CP103" s="3">
        <f t="shared" si="154"/>
        <v>347779.89134453016</v>
      </c>
      <c r="CQ103" s="3">
        <f t="shared" si="154"/>
        <v>351257.69025797548</v>
      </c>
      <c r="CR103" s="3">
        <f t="shared" si="154"/>
        <v>354770.26716055523</v>
      </c>
      <c r="CS103" s="3">
        <f t="shared" si="154"/>
        <v>358317.9698321608</v>
      </c>
      <c r="CT103" s="3">
        <f t="shared" si="154"/>
        <v>361901.14953048242</v>
      </c>
      <c r="CU103" s="3">
        <f t="shared" si="154"/>
        <v>365520.16102578724</v>
      </c>
      <c r="CV103" s="3">
        <f t="shared" si="154"/>
        <v>369175.36263604509</v>
      </c>
      <c r="CW103" s="3">
        <f t="shared" si="154"/>
        <v>372867.11626240553</v>
      </c>
      <c r="CX103" s="3">
        <f t="shared" si="154"/>
        <v>376595.78742502962</v>
      </c>
      <c r="CY103" s="3">
        <f t="shared" si="154"/>
        <v>380361.74529927992</v>
      </c>
      <c r="CZ103" s="3">
        <f t="shared" si="154"/>
        <v>384165.36275227275</v>
      </c>
      <c r="DA103" s="3">
        <f t="shared" si="154"/>
        <v>388007.0163797955</v>
      </c>
      <c r="DB103" s="3">
        <f t="shared" si="154"/>
        <v>391887.08654359344</v>
      </c>
      <c r="DC103" s="3">
        <f t="shared" si="154"/>
        <v>395805.95740902936</v>
      </c>
      <c r="DD103" s="3">
        <f t="shared" si="154"/>
        <v>399764.01698311965</v>
      </c>
      <c r="DE103" s="3">
        <f t="shared" si="154"/>
        <v>403761.65715295088</v>
      </c>
      <c r="DF103" s="3">
        <f t="shared" si="154"/>
        <v>407799.27372448042</v>
      </c>
      <c r="DG103" s="3">
        <f t="shared" si="154"/>
        <v>411877.26646172523</v>
      </c>
      <c r="DH103" s="3">
        <f t="shared" si="154"/>
        <v>415996.03912634251</v>
      </c>
      <c r="DI103" s="3">
        <f t="shared" si="154"/>
        <v>420155.99951760593</v>
      </c>
      <c r="DJ103" s="3">
        <f t="shared" si="154"/>
        <v>424357.55951278197</v>
      </c>
      <c r="DK103" s="3">
        <f t="shared" si="154"/>
        <v>428601.13510790979</v>
      </c>
      <c r="DL103" s="3">
        <f t="shared" si="154"/>
        <v>432887.14645898889</v>
      </c>
      <c r="DM103" s="3">
        <f t="shared" si="154"/>
        <v>437216.01792357879</v>
      </c>
      <c r="DN103" s="3">
        <f t="shared" si="154"/>
        <v>441588.17810281459</v>
      </c>
      <c r="DO103" s="3">
        <f t="shared" si="154"/>
        <v>446004.05988384277</v>
      </c>
      <c r="DP103" s="3">
        <f t="shared" si="154"/>
        <v>450464.10048268118</v>
      </c>
      <c r="DQ103" s="3">
        <f t="shared" si="154"/>
        <v>454968.741487508</v>
      </c>
      <c r="DR103" s="3">
        <f t="shared" ref="DR103:EW103" si="155">DQ103*(1+$AB$97)</f>
        <v>459518.42890238308</v>
      </c>
      <c r="DS103" s="3">
        <f t="shared" si="155"/>
        <v>464113.61319140694</v>
      </c>
      <c r="DT103" s="3">
        <f t="shared" si="155"/>
        <v>468754.74932332104</v>
      </c>
      <c r="DU103" s="3">
        <f t="shared" si="155"/>
        <v>473442.29681655427</v>
      </c>
      <c r="DV103" s="3">
        <f t="shared" si="155"/>
        <v>478176.71978471981</v>
      </c>
      <c r="DW103" s="3">
        <f t="shared" si="155"/>
        <v>482958.486982567</v>
      </c>
      <c r="DX103" s="3">
        <f t="shared" si="155"/>
        <v>487788.07185239269</v>
      </c>
      <c r="DY103" s="3">
        <f t="shared" si="155"/>
        <v>492665.95257091662</v>
      </c>
      <c r="DZ103" s="3">
        <f t="shared" si="155"/>
        <v>497592.61209662579</v>
      </c>
      <c r="EA103" s="3">
        <f t="shared" si="155"/>
        <v>502568.53821759205</v>
      </c>
      <c r="EB103" s="3">
        <f t="shared" si="155"/>
        <v>507594.22359976795</v>
      </c>
      <c r="EC103" s="3">
        <f t="shared" si="155"/>
        <v>512670.16583576566</v>
      </c>
      <c r="ED103" s="3">
        <f t="shared" si="155"/>
        <v>517796.86749412329</v>
      </c>
      <c r="EE103" s="3">
        <f t="shared" si="155"/>
        <v>522974.83616906451</v>
      </c>
      <c r="EF103" s="3">
        <f t="shared" si="155"/>
        <v>528204.58453075518</v>
      </c>
      <c r="EG103" s="3">
        <f t="shared" si="155"/>
        <v>533486.63037606271</v>
      </c>
      <c r="EH103" s="3">
        <f t="shared" si="155"/>
        <v>538821.49667982338</v>
      </c>
      <c r="EI103" s="3">
        <f t="shared" si="155"/>
        <v>544209.71164662158</v>
      </c>
      <c r="EJ103" s="3">
        <f t="shared" si="155"/>
        <v>549651.80876308784</v>
      </c>
      <c r="EK103" s="3">
        <f t="shared" si="155"/>
        <v>555148.3268507187</v>
      </c>
      <c r="EL103" s="3">
        <f t="shared" si="155"/>
        <v>560699.81011922588</v>
      </c>
      <c r="EM103" s="3">
        <f t="shared" si="155"/>
        <v>566306.80822041817</v>
      </c>
      <c r="EN103" s="3">
        <f t="shared" si="155"/>
        <v>571969.87630262238</v>
      </c>
      <c r="EO103" s="3">
        <f t="shared" si="155"/>
        <v>577689.57506564865</v>
      </c>
      <c r="EP103" s="3">
        <f t="shared" si="155"/>
        <v>583466.47081630514</v>
      </c>
      <c r="EQ103" s="3">
        <f t="shared" si="155"/>
        <v>589301.13552446815</v>
      </c>
      <c r="ER103" s="3">
        <f t="shared" si="155"/>
        <v>595194.14687971282</v>
      </c>
      <c r="ES103" s="3">
        <f t="shared" si="155"/>
        <v>601146.08834850998</v>
      </c>
      <c r="ET103" s="3">
        <f t="shared" si="155"/>
        <v>607157.54923199513</v>
      </c>
      <c r="EU103" s="3">
        <f t="shared" si="155"/>
        <v>613229.12472431513</v>
      </c>
      <c r="EV103" s="3">
        <f t="shared" si="155"/>
        <v>619361.41597155831</v>
      </c>
      <c r="EW103" s="3">
        <f t="shared" si="155"/>
        <v>625555.0301312739</v>
      </c>
      <c r="EX103" s="3">
        <f t="shared" ref="EX103:FF103" si="156">EW103*(1+$AB$97)</f>
        <v>631810.5804325866</v>
      </c>
      <c r="EY103" s="3">
        <f t="shared" si="156"/>
        <v>638128.6862369125</v>
      </c>
      <c r="EZ103" s="3">
        <f t="shared" si="156"/>
        <v>644509.97309928166</v>
      </c>
      <c r="FA103" s="3">
        <f t="shared" si="156"/>
        <v>650955.07283027447</v>
      </c>
      <c r="FB103" s="3">
        <f t="shared" si="156"/>
        <v>657464.62355857727</v>
      </c>
      <c r="FC103" s="3">
        <f t="shared" si="156"/>
        <v>664039.26979416306</v>
      </c>
      <c r="FD103" s="3">
        <f t="shared" si="156"/>
        <v>670679.66249210469</v>
      </c>
      <c r="FE103" s="3">
        <f t="shared" si="156"/>
        <v>677386.45911702572</v>
      </c>
      <c r="FF103" s="3">
        <f t="shared" si="156"/>
        <v>684160.32370819594</v>
      </c>
    </row>
    <row r="104" spans="1:162" x14ac:dyDescent="0.2">
      <c r="R104" s="4">
        <f t="shared" ref="R104:Y104" si="157">R103/R96</f>
        <v>0.65588283512760259</v>
      </c>
      <c r="S104" s="4">
        <f t="shared" si="157"/>
        <v>0.6830243940793741</v>
      </c>
      <c r="T104" s="4">
        <f t="shared" si="157"/>
        <v>0.57557420887226429</v>
      </c>
      <c r="U104" s="4">
        <f t="shared" si="157"/>
        <v>0.45271729769031982</v>
      </c>
      <c r="V104" s="4">
        <f t="shared" si="157"/>
        <v>0.53585360502268586</v>
      </c>
      <c r="W104" s="4">
        <f t="shared" si="157"/>
        <v>0.59883462973646351</v>
      </c>
      <c r="X104" s="4">
        <f t="shared" si="157"/>
        <v>0.65314643045935261</v>
      </c>
      <c r="Y104" s="4">
        <f t="shared" si="157"/>
        <v>0.7000443040849107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2025-07-28T07:47:58Z</dcterms:modified>
</cp:coreProperties>
</file>