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66A64A3-C4EE-42D8-8B71-EBD3CE2A87F0}" xr6:coauthVersionLast="47" xr6:coauthVersionMax="47" xr10:uidLastSave="{00000000-0000-0000-0000-000000000000}"/>
  <bookViews>
    <workbookView xWindow="1605" yWindow="1425" windowWidth="22335" windowHeight="13875" xr2:uid="{EA782F9C-EC39-4135-9E05-852174F716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5" i="2" l="1"/>
  <c r="U4" i="2"/>
  <c r="V4" i="2"/>
  <c r="W4" i="2"/>
  <c r="X4" i="2"/>
  <c r="L4" i="2"/>
  <c r="M4" i="2" s="1"/>
  <c r="K4" i="2"/>
  <c r="P6" i="1"/>
  <c r="P5" i="1"/>
  <c r="P3" i="1"/>
  <c r="U31" i="2"/>
  <c r="K21" i="2"/>
  <c r="R28" i="2"/>
  <c r="S28" i="2"/>
  <c r="J20" i="2"/>
  <c r="K20" i="2" s="1"/>
  <c r="L20" i="2" s="1"/>
  <c r="M20" i="2" s="1"/>
  <c r="T20" i="2" s="1"/>
  <c r="U20" i="2" s="1"/>
  <c r="V20" i="2" s="1"/>
  <c r="W20" i="2" s="1"/>
  <c r="X20" i="2" s="1"/>
  <c r="S45" i="2"/>
  <c r="S38" i="2"/>
  <c r="S34" i="2" s="1"/>
  <c r="I45" i="2"/>
  <c r="I38" i="2"/>
  <c r="I34" i="2"/>
  <c r="J16" i="2" s="1"/>
  <c r="K24" i="2"/>
  <c r="P8" i="2"/>
  <c r="P9" i="2" s="1"/>
  <c r="P26" i="2" s="1"/>
  <c r="P14" i="2"/>
  <c r="O14" i="2"/>
  <c r="O8" i="2"/>
  <c r="O9" i="2" s="1"/>
  <c r="I8" i="2"/>
  <c r="I9" i="2" s="1"/>
  <c r="I26" i="2" s="1"/>
  <c r="P23" i="2"/>
  <c r="Q23" i="2"/>
  <c r="O23" i="2"/>
  <c r="J24" i="2"/>
  <c r="J7" i="2" s="1"/>
  <c r="C24" i="2"/>
  <c r="D24" i="2"/>
  <c r="E24" i="2"/>
  <c r="F24" i="2"/>
  <c r="G24" i="2"/>
  <c r="H24" i="2"/>
  <c r="I24" i="2"/>
  <c r="J23" i="2"/>
  <c r="F23" i="2"/>
  <c r="G23" i="2"/>
  <c r="H23" i="2"/>
  <c r="I23" i="2"/>
  <c r="C14" i="2"/>
  <c r="D14" i="2"/>
  <c r="E14" i="2"/>
  <c r="F14" i="2"/>
  <c r="G14" i="2"/>
  <c r="H14" i="2"/>
  <c r="I14" i="2"/>
  <c r="B14" i="2"/>
  <c r="E8" i="2"/>
  <c r="E9" i="2" s="1"/>
  <c r="F8" i="2"/>
  <c r="F9" i="2" s="1"/>
  <c r="G8" i="2"/>
  <c r="G9" i="2" s="1"/>
  <c r="H8" i="2"/>
  <c r="H9" i="2" s="1"/>
  <c r="H26" i="2" s="1"/>
  <c r="C8" i="2"/>
  <c r="C9" i="2" s="1"/>
  <c r="B8" i="2"/>
  <c r="B9" i="2" s="1"/>
  <c r="B26" i="2" s="1"/>
  <c r="D8" i="2"/>
  <c r="D9" i="2" s="1"/>
  <c r="D26" i="2" s="1"/>
  <c r="V31" i="2"/>
  <c r="W31" i="2" s="1"/>
  <c r="X31" i="2" s="1"/>
  <c r="T30" i="2"/>
  <c r="U30" i="2" s="1"/>
  <c r="V30" i="2" s="1"/>
  <c r="W30" i="2" s="1"/>
  <c r="X30" i="2" s="1"/>
  <c r="R42" i="2"/>
  <c r="S42" i="2"/>
  <c r="Q42" i="2"/>
  <c r="R32" i="2"/>
  <c r="S32" i="2"/>
  <c r="Q32" i="2"/>
  <c r="Q28" i="2" s="1"/>
  <c r="R14" i="2"/>
  <c r="S14" i="2"/>
  <c r="Q14" i="2"/>
  <c r="R8" i="2"/>
  <c r="R9" i="2" s="1"/>
  <c r="R26" i="2" s="1"/>
  <c r="S8" i="2"/>
  <c r="S9" i="2" s="1"/>
  <c r="Q8" i="2"/>
  <c r="Q9" i="2" s="1"/>
  <c r="R23" i="2"/>
  <c r="S23" i="2"/>
  <c r="B32" i="2"/>
  <c r="P1" i="2"/>
  <c r="Q1" i="2" s="1"/>
  <c r="R1" i="2" s="1"/>
  <c r="S1" i="2" s="1"/>
  <c r="T1" i="2" s="1"/>
  <c r="U1" i="2" s="1"/>
  <c r="V1" i="2" s="1"/>
  <c r="W1" i="2" s="1"/>
  <c r="X1" i="2" s="1"/>
  <c r="P4" i="1"/>
  <c r="P7" i="1" s="1"/>
  <c r="X32" i="2" l="1"/>
  <c r="W32" i="2"/>
  <c r="V32" i="2"/>
  <c r="U32" i="2"/>
  <c r="K7" i="2"/>
  <c r="P15" i="2"/>
  <c r="J11" i="2"/>
  <c r="K11" i="2" s="1"/>
  <c r="J10" i="2"/>
  <c r="K10" i="2" s="1"/>
  <c r="J13" i="2"/>
  <c r="K13" i="2" s="1"/>
  <c r="J12" i="2"/>
  <c r="K12" i="2" s="1"/>
  <c r="K23" i="2"/>
  <c r="J6" i="2"/>
  <c r="J5" i="2"/>
  <c r="M23" i="2"/>
  <c r="P17" i="2"/>
  <c r="P27" i="2"/>
  <c r="O15" i="2"/>
  <c r="O26" i="2"/>
  <c r="I15" i="2"/>
  <c r="F15" i="2"/>
  <c r="F26" i="2"/>
  <c r="G26" i="2"/>
  <c r="G15" i="2"/>
  <c r="E15" i="2"/>
  <c r="E26" i="2"/>
  <c r="C26" i="2"/>
  <c r="C15" i="2"/>
  <c r="D15" i="2"/>
  <c r="B15" i="2"/>
  <c r="H15" i="2"/>
  <c r="S15" i="2"/>
  <c r="S27" i="2" s="1"/>
  <c r="Q15" i="2"/>
  <c r="Q27" i="2" s="1"/>
  <c r="S26" i="2"/>
  <c r="Q26" i="2"/>
  <c r="R15" i="2"/>
  <c r="R27" i="2" s="1"/>
  <c r="K14" i="2" l="1"/>
  <c r="K5" i="2"/>
  <c r="J8" i="2"/>
  <c r="J9" i="2" s="1"/>
  <c r="J26" i="2" s="1"/>
  <c r="T4" i="2"/>
  <c r="K6" i="2"/>
  <c r="M24" i="2"/>
  <c r="L24" i="2"/>
  <c r="L23" i="2"/>
  <c r="P19" i="2"/>
  <c r="O17" i="2"/>
  <c r="O27" i="2"/>
  <c r="I17" i="2"/>
  <c r="I27" i="2"/>
  <c r="E17" i="2"/>
  <c r="E27" i="2"/>
  <c r="C17" i="2"/>
  <c r="C27" i="2"/>
  <c r="G17" i="2"/>
  <c r="G27" i="2"/>
  <c r="F17" i="2"/>
  <c r="F27" i="2"/>
  <c r="B27" i="2"/>
  <c r="B17" i="2"/>
  <c r="D17" i="2"/>
  <c r="D27" i="2"/>
  <c r="H17" i="2"/>
  <c r="H27" i="2"/>
  <c r="Q17" i="2"/>
  <c r="Q19" i="2" s="1"/>
  <c r="S17" i="2"/>
  <c r="R17" i="2"/>
  <c r="T28" i="2" l="1"/>
  <c r="L10" i="2"/>
  <c r="L13" i="2"/>
  <c r="L11" i="2"/>
  <c r="M11" i="2" s="1"/>
  <c r="L12" i="2"/>
  <c r="L7" i="2"/>
  <c r="L6" i="2"/>
  <c r="M6" i="2" s="1"/>
  <c r="T6" i="2"/>
  <c r="T23" i="2"/>
  <c r="L5" i="2"/>
  <c r="K8" i="2"/>
  <c r="K9" i="2" s="1"/>
  <c r="O19" i="2"/>
  <c r="I19" i="2"/>
  <c r="I21" i="2" s="1"/>
  <c r="B19" i="2"/>
  <c r="B21" i="2" s="1"/>
  <c r="F19" i="2"/>
  <c r="F21" i="2" s="1"/>
  <c r="H19" i="2"/>
  <c r="H21" i="2" s="1"/>
  <c r="D19" i="2"/>
  <c r="D21" i="2" s="1"/>
  <c r="G19" i="2"/>
  <c r="G21" i="2" s="1"/>
  <c r="C19" i="2"/>
  <c r="C21" i="2" s="1"/>
  <c r="E19" i="2"/>
  <c r="E21" i="2" s="1"/>
  <c r="Q36" i="2"/>
  <c r="Q21" i="2"/>
  <c r="S19" i="2"/>
  <c r="R19" i="2"/>
  <c r="U28" i="2" l="1"/>
  <c r="K15" i="2"/>
  <c r="K27" i="2" s="1"/>
  <c r="K26" i="2"/>
  <c r="M5" i="2"/>
  <c r="L8" i="2"/>
  <c r="L9" i="2" s="1"/>
  <c r="T5" i="2"/>
  <c r="M7" i="2"/>
  <c r="T7" i="2"/>
  <c r="L14" i="2"/>
  <c r="M12" i="2"/>
  <c r="T12" i="2" s="1"/>
  <c r="M13" i="2"/>
  <c r="T13" i="2" s="1"/>
  <c r="U23" i="2"/>
  <c r="U6" i="2" s="1"/>
  <c r="M10" i="2"/>
  <c r="M14" i="2" s="1"/>
  <c r="R36" i="2"/>
  <c r="R21" i="2"/>
  <c r="S21" i="2"/>
  <c r="S36" i="2"/>
  <c r="V28" i="2" l="1"/>
  <c r="V23" i="2"/>
  <c r="V6" i="2" s="1"/>
  <c r="U12" i="2"/>
  <c r="L15" i="2"/>
  <c r="L27" i="2" s="1"/>
  <c r="L26" i="2"/>
  <c r="U13" i="2"/>
  <c r="U7" i="2"/>
  <c r="V7" i="2" s="1"/>
  <c r="T8" i="2"/>
  <c r="U5" i="2"/>
  <c r="M8" i="2"/>
  <c r="M9" i="2" s="1"/>
  <c r="T10" i="2"/>
  <c r="U10" i="2" s="1"/>
  <c r="J14" i="2"/>
  <c r="J15" i="2" s="1"/>
  <c r="T11" i="2"/>
  <c r="V13" i="2" l="1"/>
  <c r="X28" i="2"/>
  <c r="W28" i="2"/>
  <c r="V12" i="2"/>
  <c r="V10" i="2"/>
  <c r="T14" i="2"/>
  <c r="M15" i="2"/>
  <c r="M27" i="2" s="1"/>
  <c r="M26" i="2"/>
  <c r="U8" i="2"/>
  <c r="U9" i="2" s="1"/>
  <c r="V5" i="2"/>
  <c r="W23" i="2"/>
  <c r="W6" i="2" s="1"/>
  <c r="J17" i="2"/>
  <c r="J18" i="2" s="1"/>
  <c r="J27" i="2"/>
  <c r="U11" i="2"/>
  <c r="U14" i="2" s="1"/>
  <c r="X23" i="2" l="1"/>
  <c r="X6" i="2" s="1"/>
  <c r="W12" i="2"/>
  <c r="U26" i="2"/>
  <c r="U15" i="2"/>
  <c r="W13" i="2"/>
  <c r="X13" i="2" s="1"/>
  <c r="V8" i="2"/>
  <c r="V9" i="2" s="1"/>
  <c r="W5" i="2"/>
  <c r="W7" i="2"/>
  <c r="X7" i="2" s="1"/>
  <c r="W10" i="2"/>
  <c r="J19" i="2"/>
  <c r="J34" i="2" s="1"/>
  <c r="K16" i="2" s="1"/>
  <c r="V11" i="2"/>
  <c r="V14" i="2" s="1"/>
  <c r="X12" i="2" l="1"/>
  <c r="X10" i="2"/>
  <c r="V26" i="2"/>
  <c r="V15" i="2"/>
  <c r="W8" i="2"/>
  <c r="W9" i="2" s="1"/>
  <c r="X5" i="2"/>
  <c r="X8" i="2" s="1"/>
  <c r="X9" i="2" s="1"/>
  <c r="W11" i="2"/>
  <c r="W14" i="2" s="1"/>
  <c r="K17" i="2"/>
  <c r="K18" i="2" s="1"/>
  <c r="W26" i="2" l="1"/>
  <c r="W15" i="2"/>
  <c r="X26" i="2"/>
  <c r="X11" i="2"/>
  <c r="X14" i="2" s="1"/>
  <c r="X15" i="2" s="1"/>
  <c r="K34" i="2" l="1"/>
  <c r="L16" i="2" l="1"/>
  <c r="L17" i="2" l="1"/>
  <c r="L18" i="2" s="1"/>
  <c r="L19" i="2" l="1"/>
  <c r="L21" i="2" l="1"/>
  <c r="L34" i="2"/>
  <c r="M16" i="2" l="1"/>
  <c r="M17" i="2" l="1"/>
  <c r="M18" i="2" s="1"/>
  <c r="T16" i="2"/>
  <c r="M19" i="2" l="1"/>
  <c r="M21" i="2" l="1"/>
  <c r="M34" i="2"/>
  <c r="T34" i="2" s="1"/>
  <c r="U16" i="2" l="1"/>
  <c r="T9" i="2" l="1"/>
  <c r="T26" i="2" s="1"/>
  <c r="T15" i="2" l="1"/>
  <c r="T27" i="2" l="1"/>
  <c r="T17" i="2"/>
  <c r="T18" i="2" s="1"/>
  <c r="T19" i="2" l="1"/>
  <c r="T21" i="2" s="1"/>
  <c r="X27" i="2"/>
  <c r="V27" i="2"/>
  <c r="U17" i="2" l="1"/>
  <c r="U18" i="2" s="1"/>
  <c r="U27" i="2"/>
  <c r="W27" i="2"/>
  <c r="U19" i="2" l="1"/>
  <c r="U21" i="2" s="1"/>
  <c r="U34" i="2" l="1"/>
  <c r="V16" i="2"/>
  <c r="V17" i="2" s="1"/>
  <c r="V18" i="2" s="1"/>
  <c r="V19" i="2" l="1"/>
  <c r="V21" i="2" l="1"/>
  <c r="V34" i="2"/>
  <c r="W16" i="2" l="1"/>
  <c r="W17" i="2" s="1"/>
  <c r="W18" i="2" s="1"/>
  <c r="W19" i="2" l="1"/>
  <c r="W21" i="2" l="1"/>
  <c r="W34" i="2"/>
  <c r="X16" i="2" l="1"/>
  <c r="X17" i="2" s="1"/>
  <c r="X18" i="2" s="1"/>
  <c r="X19" i="2" l="1"/>
  <c r="X21" i="2" l="1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X34" i="2"/>
  <c r="Y32" i="2"/>
  <c r="Z32" i="2" l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AA26" i="2" l="1"/>
  <c r="AA27" i="2" s="1"/>
</calcChain>
</file>

<file path=xl/sharedStrings.xml><?xml version="1.0" encoding="utf-8"?>
<sst xmlns="http://schemas.openxmlformats.org/spreadsheetml/2006/main" count="67" uniqueCount="59">
  <si>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</si>
  <si>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</si>
  <si>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</si>
  <si>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</si>
  <si>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</si>
  <si>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</si>
  <si>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</si>
  <si>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</si>
  <si>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</si>
  <si>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</si>
  <si>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</si>
  <si>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</si>
  <si>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</si>
  <si>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</si>
  <si>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</si>
  <si>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Transaction&amp;Credit Loss</t>
  </si>
  <si>
    <t>S&amp;M</t>
  </si>
  <si>
    <t>R&amp;D</t>
  </si>
  <si>
    <t>G&amp;A</t>
  </si>
  <si>
    <t>Restructuring</t>
  </si>
  <si>
    <t>OPEX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</si>
  <si>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</si>
  <si>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</si>
  <si>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</si>
  <si>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</si>
  <si>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</si>
  <si>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</si>
  <si>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</si>
  <si>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</si>
  <si>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</si>
  <si>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</si>
  <si>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</si>
  <si>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</si>
  <si>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</si>
  <si>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Model NI</t>
  </si>
  <si>
    <t>Reported NI</t>
  </si>
  <si>
    <t>Net Cash</t>
  </si>
  <si>
    <t>AP</t>
  </si>
  <si>
    <t>AR</t>
  </si>
  <si>
    <t>NPV</t>
  </si>
  <si>
    <t>Maturity</t>
  </si>
  <si>
    <t>Discount</t>
  </si>
  <si>
    <t>Diff</t>
  </si>
  <si>
    <t>ROIC</t>
  </si>
  <si>
    <t>Purchase Investments</t>
  </si>
  <si>
    <t>Sell Investments</t>
  </si>
  <si>
    <t>Payment Volume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</si>
  <si>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</si>
  <si>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</si>
  <si>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</si>
  <si>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</si>
  <si>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</si>
  <si>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</si>
  <si>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</si>
  <si>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</si>
  <si>
    <t>FCF Margin</t>
  </si>
  <si>
    <t>Questions</t>
  </si>
  <si>
    <t>Do they have an advantage in the payments industry or just a large moat of integrations?</t>
  </si>
  <si>
    <t>What is their value prop?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</si>
</sst>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4" fillId="0" borderId="0" xfId="0" applyNumberFormat="1" applyFont="1"/>
    <xf numFmtId="1" fontId="4" fillId="0" borderId="0" xfId="0" applyNumberFormat="1" applyFont="1"/>
    <xf numFmtId="3" fontId="5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164" fontId="4" fillId="0" borderId="0" xfId="0" applyNumberFormat="1" applyFont="1"/>
    <xf numFmtId="9" fontId="5" fillId="0" borderId="0" xfId="0" applyNumberFormat="1" applyFont="1"/>
    <xf numFmtId="10" fontId="4" fillId="0" borderId="0" xfId="0" applyNumberFormat="1" applyFont="1"/>
    <xf numFmtId="0" fontId="5" fillId="0" borderId="0" xfId="0" applyFont="1"/>
    <xf numFmtId="0" fontId="4" fillId="0" borderId="0" xfId="0" applyFont="1"/>
    <xf numFmtId="3" fontId="3" fillId="0" borderId="0" xfId="0" applyNumberFormat="1" applyFont="1"/>
    <xf numFmtId="0" fontId="2" fillId="0" borderId="0" xfId="0" applyFont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38100</xdr:rowOff>
    </xdr:from>
    <xdr:to>
      <xdr:col>9</xdr:col>
      <xdr:colOff>0</xdr:colOff>
      <xdr:row>47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3028950" y="38100"/>
          <a:ext cx="1905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0</xdr:row>
      <xdr:rowOff>0</xdr:rowOff>
    </xdr:from>
    <xdr:to>
      <xdr:col>19</xdr:col>
      <xdr:colOff>9525</xdr:colOff>
      <xdr:row>47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8763000" y="0"/>
          <a:ext cx="19050" cy="857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Q11"/>
  <sheetViews>
    <sheetView tabSelected="1" zoomScale="115" zoomScaleNormal="115" workbookViewId="0">
      <selection activeCell="P8" sqref="P8"/>
    </sheetView>
  </sheetViews>
  <sheetFormatPr defaultRowHeight="12.75" x14ac:dyDescent="0.2"/>
  <cols>
    <col min="1" max="16384" width="9.140625" style="10"/>
  </cols>
  <sheetData>
    <row r="1" spans="1:17" x14ac:dyDescent="0.2">
      <c r="A1" s="9"/>
    </row>
    <row r="2" spans="1:17" x14ac:dyDescent="0.2">
      <c r="O2" s="10" t="s">
        <v>0</v>
      </c>
      <c r="P2" s="5">
        <v>67</v>
      </c>
    </row>
    <row r="3" spans="1:17" x14ac:dyDescent="0.2">
      <c r="O3" s="10" t="s">
        <v>1</v>
      </c>
      <c r="P3" s="1">
        <f>972.533</f>
        <v>972.53300000000002</v>
      </c>
      <c r="Q3" s="12" t="s">
        <v>11</v>
      </c>
    </row>
    <row r="4" spans="1:17" x14ac:dyDescent="0.2">
      <c r="O4" s="10" t="s">
        <v>2</v>
      </c>
      <c r="P4" s="1">
        <f>P3*P2</f>
        <v>65159.711000000003</v>
      </c>
    </row>
    <row r="5" spans="1:17" x14ac:dyDescent="0.2">
      <c r="O5" s="10" t="s">
        <v>3</v>
      </c>
      <c r="P5" s="1">
        <f>7449+3762</f>
        <v>11211</v>
      </c>
      <c r="Q5" s="12" t="s">
        <v>11</v>
      </c>
    </row>
    <row r="6" spans="1:17" x14ac:dyDescent="0.2">
      <c r="O6" s="10" t="s">
        <v>4</v>
      </c>
      <c r="P6" s="1">
        <f>11417+2981</f>
        <v>14398</v>
      </c>
      <c r="Q6" s="12" t="s">
        <v>11</v>
      </c>
    </row>
    <row r="7" spans="1:17" x14ac:dyDescent="0.2">
      <c r="O7" s="10" t="s">
        <v>5</v>
      </c>
      <c r="P7" s="1">
        <f>P4+P6-P5</f>
        <v>68346.71100000001</v>
      </c>
    </row>
    <row r="9" spans="1:17" x14ac:dyDescent="0.2">
      <c r="L9" s="14" t="s">
        <v>56</v>
      </c>
    </row>
    <row r="10" spans="1:17" x14ac:dyDescent="0.2">
      <c r="L10" s="13" t="s">
        <v>57</v>
      </c>
    </row>
    <row r="11" spans="1:17" x14ac:dyDescent="0.2">
      <c r="L11" s="13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N45"/>
  <sheetViews>
    <sheetView zoomScale="130" zoomScaleNormal="130" workbookViewId="0">
      <pane xSplit="1" ySplit="1" topLeftCell="O8" activePane="bottomRight" state="frozen"/>
      <selection pane="topRight" activeCell="B1" sqref="B1"/>
      <selection pane="bottomLeft" activeCell="A2" sqref="A2"/>
      <selection pane="bottomRight" activeCell="Y25" sqref="Y25"/>
    </sheetView>
  </sheetViews>
  <sheetFormatPr defaultRowHeight="12.75" x14ac:dyDescent="0.2"/>
  <cols>
    <col min="1" max="1" width="22.28515625" style="1" customWidth="1"/>
    <col min="2" max="8" width="9.140625" style="1"/>
    <col min="9" max="9" width="9.140625" style="1" customWidth="1"/>
    <col min="10" max="27" width="9.140625" style="1"/>
    <col min="28" max="28" width="9.85546875" style="1" bestFit="1" customWidth="1"/>
    <col min="29" max="16384" width="9.140625" style="1"/>
  </cols>
  <sheetData>
    <row r="1" spans="1:24" x14ac:dyDescent="0.2">
      <c r="B1" s="1" t="s">
        <v>47</v>
      </c>
      <c r="C1" s="1" t="s">
        <v>48</v>
      </c>
      <c r="D1" s="1" t="s">
        <v>49</v>
      </c>
      <c r="E1" s="1" t="s">
        <v>50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53</v>
      </c>
      <c r="M1" s="1" t="s">
        <v>54</v>
      </c>
      <c r="O1" s="2">
        <v>2020</v>
      </c>
      <c r="P1" s="2">
        <f>O1+1</f>
        <v>2021</v>
      </c>
      <c r="Q1" s="2">
        <f t="shared" ref="Q1:X1" si="0">P1+1</f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</row>
    <row r="2" spans="1:24" x14ac:dyDescent="0.2">
      <c r="A2" s="1" t="s">
        <v>46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3" customFormat="1" x14ac:dyDescent="0.2">
      <c r="A4" s="3" t="s">
        <v>13</v>
      </c>
      <c r="B4" s="3">
        <v>7040</v>
      </c>
      <c r="C4" s="3">
        <v>7287</v>
      </c>
      <c r="D4" s="3">
        <v>7418</v>
      </c>
      <c r="E4" s="3">
        <v>8026</v>
      </c>
      <c r="F4" s="3">
        <v>7699</v>
      </c>
      <c r="G4" s="3">
        <v>7885</v>
      </c>
      <c r="H4" s="3">
        <v>7847</v>
      </c>
      <c r="I4" s="3">
        <v>8366</v>
      </c>
      <c r="J4" s="3">
        <v>7791</v>
      </c>
      <c r="K4" s="3">
        <f>J4*1.04</f>
        <v>8102.64</v>
      </c>
      <c r="L4" s="3">
        <f t="shared" ref="L4:M4" si="1">K4*1.04</f>
        <v>8426.7456000000002</v>
      </c>
      <c r="M4" s="3">
        <f t="shared" si="1"/>
        <v>8763.8154240000003</v>
      </c>
      <c r="Q4" s="3">
        <v>27518</v>
      </c>
      <c r="R4" s="3">
        <v>29771</v>
      </c>
      <c r="S4" s="3">
        <v>31797</v>
      </c>
      <c r="T4" s="3">
        <f>SUM(J4:M4)</f>
        <v>33084.201024000002</v>
      </c>
      <c r="U4" s="3">
        <f>T4*1.05</f>
        <v>34738.411075200005</v>
      </c>
      <c r="V4" s="3">
        <f t="shared" ref="V4:X4" si="2">U4*1.05</f>
        <v>36475.331628960004</v>
      </c>
      <c r="W4" s="3">
        <f t="shared" si="2"/>
        <v>38299.098210408003</v>
      </c>
      <c r="X4" s="3">
        <f t="shared" si="2"/>
        <v>40214.053120928402</v>
      </c>
    </row>
    <row r="5" spans="1:24" x14ac:dyDescent="0.2">
      <c r="A5" s="1" t="s">
        <v>14</v>
      </c>
      <c r="B5" s="1">
        <v>3283</v>
      </c>
      <c r="C5" s="1">
        <v>3541</v>
      </c>
      <c r="D5" s="1">
        <v>3603</v>
      </c>
      <c r="E5" s="1">
        <v>3958</v>
      </c>
      <c r="F5" s="1">
        <v>3917</v>
      </c>
      <c r="G5" s="1">
        <v>3942</v>
      </c>
      <c r="H5" s="1">
        <v>3841</v>
      </c>
      <c r="I5" s="1">
        <v>3997</v>
      </c>
      <c r="J5" s="1">
        <f>I5*(1+J24)</f>
        <v>3722.2838871623235</v>
      </c>
      <c r="K5" s="1">
        <f t="shared" ref="K5:M5" si="3">J5*(1+K24)</f>
        <v>3871.1752426488165</v>
      </c>
      <c r="L5" s="1">
        <f t="shared" si="3"/>
        <v>4026.0222523547691</v>
      </c>
      <c r="M5" s="1">
        <f t="shared" si="3"/>
        <v>4187.0631424489602</v>
      </c>
      <c r="Q5" s="1">
        <v>12173</v>
      </c>
      <c r="R5" s="1">
        <v>14385</v>
      </c>
      <c r="S5" s="1">
        <v>15697</v>
      </c>
      <c r="T5" s="1">
        <f>SUM(J5:M5)</f>
        <v>15806.544524614868</v>
      </c>
      <c r="U5" s="1">
        <f t="shared" ref="U5:X5" si="4">T5*(1+U23)</f>
        <v>16596.871750845614</v>
      </c>
      <c r="V5" s="1">
        <f t="shared" si="4"/>
        <v>17426.715338387894</v>
      </c>
      <c r="W5" s="1">
        <f t="shared" si="4"/>
        <v>18298.051105307288</v>
      </c>
      <c r="X5" s="1">
        <f t="shared" si="4"/>
        <v>19212.953660572653</v>
      </c>
    </row>
    <row r="6" spans="1:24" x14ac:dyDescent="0.2">
      <c r="A6" s="1" t="s">
        <v>15</v>
      </c>
      <c r="B6" s="1">
        <v>442</v>
      </c>
      <c r="C6" s="1">
        <v>398</v>
      </c>
      <c r="D6" s="1">
        <v>446</v>
      </c>
      <c r="E6" s="1">
        <v>396</v>
      </c>
      <c r="F6" s="1">
        <v>321</v>
      </c>
      <c r="G6" s="1">
        <v>335</v>
      </c>
      <c r="H6" s="1">
        <v>352</v>
      </c>
      <c r="I6" s="1">
        <v>434</v>
      </c>
      <c r="J6" s="1">
        <f>I6*(1+J24)</f>
        <v>404.17092995457807</v>
      </c>
      <c r="K6" s="1">
        <f t="shared" ref="K6:M6" si="5">J6*(1+K24)</f>
        <v>420.33776715276122</v>
      </c>
      <c r="L6" s="1">
        <f t="shared" si="5"/>
        <v>437.15127783887169</v>
      </c>
      <c r="M6" s="1">
        <f t="shared" si="5"/>
        <v>454.63732895242657</v>
      </c>
      <c r="Q6" s="1">
        <v>1572</v>
      </c>
      <c r="R6" s="1">
        <v>1682</v>
      </c>
      <c r="S6" s="1">
        <v>1442</v>
      </c>
      <c r="T6" s="1">
        <f>SUM(J6:M6)</f>
        <v>1716.2973038986374</v>
      </c>
      <c r="U6" s="1">
        <f t="shared" ref="U6:X6" si="6">T6*(1+U23)</f>
        <v>1802.1121690935695</v>
      </c>
      <c r="V6" s="1">
        <f t="shared" si="6"/>
        <v>1892.217777548248</v>
      </c>
      <c r="W6" s="1">
        <f t="shared" si="6"/>
        <v>1986.8286664256605</v>
      </c>
      <c r="X6" s="1">
        <f t="shared" si="6"/>
        <v>2086.1700997469434</v>
      </c>
    </row>
    <row r="7" spans="1:24" x14ac:dyDescent="0.2">
      <c r="A7" s="1" t="s">
        <v>51</v>
      </c>
      <c r="B7" s="1">
        <v>488</v>
      </c>
      <c r="C7" s="1">
        <v>492</v>
      </c>
      <c r="D7" s="1">
        <v>474</v>
      </c>
      <c r="E7" s="1">
        <v>465</v>
      </c>
      <c r="F7" s="1">
        <v>454</v>
      </c>
      <c r="G7" s="1">
        <v>436</v>
      </c>
      <c r="H7" s="1">
        <v>427</v>
      </c>
      <c r="I7" s="1">
        <v>451</v>
      </c>
      <c r="J7" s="1">
        <f>I7*(1+J24)</f>
        <v>420.00251016017211</v>
      </c>
      <c r="K7" s="1">
        <f t="shared" ref="K7:M7" si="7">J7*(1+K24)</f>
        <v>436.80261056657901</v>
      </c>
      <c r="L7" s="1">
        <f t="shared" si="7"/>
        <v>454.27471498924217</v>
      </c>
      <c r="M7" s="1">
        <f t="shared" si="7"/>
        <v>472.44570358881185</v>
      </c>
      <c r="Q7" s="1">
        <v>2120</v>
      </c>
      <c r="R7" s="1">
        <v>1919</v>
      </c>
      <c r="S7" s="1">
        <v>1768</v>
      </c>
      <c r="T7" s="1">
        <f>SUM(J7:M7)</f>
        <v>1783.5255393048051</v>
      </c>
      <c r="U7" s="1">
        <f t="shared" ref="U7:X7" si="8">T7*(1+U23)</f>
        <v>1872.7018162700454</v>
      </c>
      <c r="V7" s="1">
        <f t="shared" si="8"/>
        <v>1966.3369070835477</v>
      </c>
      <c r="W7" s="1">
        <f t="shared" si="8"/>
        <v>2064.653752437725</v>
      </c>
      <c r="X7" s="1">
        <f t="shared" si="8"/>
        <v>2167.8864400596112</v>
      </c>
    </row>
    <row r="8" spans="1:24" x14ac:dyDescent="0.2">
      <c r="A8" s="1" t="s">
        <v>32</v>
      </c>
      <c r="B8" s="1">
        <f>SUM(B5:B7)</f>
        <v>4213</v>
      </c>
      <c r="C8" s="1">
        <f>SUM(C5:C7)</f>
        <v>4431</v>
      </c>
      <c r="D8" s="1">
        <f>SUM(D5:D7)</f>
        <v>4523</v>
      </c>
      <c r="E8" s="1">
        <f t="shared" ref="E8:K8" si="9">SUM(E5:E7)</f>
        <v>4819</v>
      </c>
      <c r="F8" s="1">
        <f t="shared" si="9"/>
        <v>4692</v>
      </c>
      <c r="G8" s="1">
        <f t="shared" si="9"/>
        <v>4713</v>
      </c>
      <c r="H8" s="1">
        <f t="shared" si="9"/>
        <v>4620</v>
      </c>
      <c r="I8" s="1">
        <f t="shared" si="9"/>
        <v>4882</v>
      </c>
      <c r="J8" s="1">
        <f t="shared" si="9"/>
        <v>4546.457327277074</v>
      </c>
      <c r="K8" s="1">
        <f t="shared" si="9"/>
        <v>4728.3156203681574</v>
      </c>
      <c r="L8" s="1">
        <f t="shared" ref="L8" si="10">SUM(L5:L7)</f>
        <v>4917.4482451828826</v>
      </c>
      <c r="M8" s="1">
        <f t="shared" ref="M8:P8" si="11">SUM(M5:M7)</f>
        <v>5114.1461749901982</v>
      </c>
      <c r="O8" s="1">
        <f t="shared" si="11"/>
        <v>0</v>
      </c>
      <c r="P8" s="1">
        <f t="shared" si="11"/>
        <v>0</v>
      </c>
      <c r="Q8" s="1">
        <f>SUM(Q5:Q7)</f>
        <v>15865</v>
      </c>
      <c r="R8" s="1">
        <f>SUM(R5:R7)</f>
        <v>17986</v>
      </c>
      <c r="S8" s="1">
        <f>SUM(S5:S7)</f>
        <v>18907</v>
      </c>
      <c r="T8" s="1">
        <f>SUM(T5:T7)</f>
        <v>19306.367367818311</v>
      </c>
      <c r="U8" s="1">
        <f t="shared" ref="U8:X8" si="12">SUM(U5:U7)</f>
        <v>20271.685736209227</v>
      </c>
      <c r="V8" s="1">
        <f t="shared" si="12"/>
        <v>21285.27002301969</v>
      </c>
      <c r="W8" s="1">
        <f t="shared" si="12"/>
        <v>22349.533524170671</v>
      </c>
      <c r="X8" s="1">
        <f t="shared" si="12"/>
        <v>23467.010200379209</v>
      </c>
    </row>
    <row r="9" spans="1:24" x14ac:dyDescent="0.2">
      <c r="A9" s="1" t="s">
        <v>33</v>
      </c>
      <c r="B9" s="1">
        <f>B4-B8</f>
        <v>2827</v>
      </c>
      <c r="C9" s="1">
        <f>C4-C8</f>
        <v>2856</v>
      </c>
      <c r="D9" s="1">
        <f>D4-D8</f>
        <v>2895</v>
      </c>
      <c r="E9" s="1">
        <f t="shared" ref="E9:K9" si="13">E4-E8</f>
        <v>3207</v>
      </c>
      <c r="F9" s="1">
        <f t="shared" si="13"/>
        <v>3007</v>
      </c>
      <c r="G9" s="1">
        <f t="shared" si="13"/>
        <v>3172</v>
      </c>
      <c r="H9" s="1">
        <f t="shared" si="13"/>
        <v>3227</v>
      </c>
      <c r="I9" s="1">
        <f t="shared" si="13"/>
        <v>3484</v>
      </c>
      <c r="J9" s="1">
        <f t="shared" si="13"/>
        <v>3244.542672722926</v>
      </c>
      <c r="K9" s="1">
        <f t="shared" si="13"/>
        <v>3374.3243796318429</v>
      </c>
      <c r="L9" s="1">
        <f t="shared" ref="L9" si="14">L4-L8</f>
        <v>3509.2973548171176</v>
      </c>
      <c r="M9" s="1">
        <f t="shared" ref="M9:P9" si="15">M4-M8</f>
        <v>3649.6692490098021</v>
      </c>
      <c r="O9" s="1">
        <f t="shared" si="15"/>
        <v>0</v>
      </c>
      <c r="P9" s="1">
        <f t="shared" si="15"/>
        <v>0</v>
      </c>
      <c r="Q9" s="1">
        <f>Q4-Q8</f>
        <v>11653</v>
      </c>
      <c r="R9" s="1">
        <f t="shared" ref="R9:X9" si="16">R4-R8</f>
        <v>11785</v>
      </c>
      <c r="S9" s="1">
        <f t="shared" si="16"/>
        <v>12890</v>
      </c>
      <c r="T9" s="1">
        <f t="shared" si="16"/>
        <v>13777.83365618169</v>
      </c>
      <c r="U9" s="1">
        <f t="shared" si="16"/>
        <v>14466.725338990778</v>
      </c>
      <c r="V9" s="1">
        <f t="shared" si="16"/>
        <v>15190.061605940315</v>
      </c>
      <c r="W9" s="1">
        <f t="shared" si="16"/>
        <v>15949.564686237332</v>
      </c>
      <c r="X9" s="1">
        <f t="shared" si="16"/>
        <v>16747.042920549193</v>
      </c>
    </row>
    <row r="10" spans="1:24" x14ac:dyDescent="0.2">
      <c r="A10" s="1" t="s">
        <v>16</v>
      </c>
      <c r="B10" s="1">
        <v>436</v>
      </c>
      <c r="C10" s="1">
        <v>465</v>
      </c>
      <c r="D10" s="1">
        <v>442</v>
      </c>
      <c r="E10" s="1">
        <v>466</v>
      </c>
      <c r="F10" s="1">
        <v>421</v>
      </c>
      <c r="G10" s="1">
        <v>446</v>
      </c>
      <c r="H10" s="1">
        <v>508</v>
      </c>
      <c r="I10" s="1">
        <v>626</v>
      </c>
      <c r="J10" s="1">
        <f>I10*(1+J24)</f>
        <v>582.97465933540525</v>
      </c>
      <c r="K10" s="1">
        <f t="shared" ref="K10:M10" si="17">J10*(1+K24)</f>
        <v>606.29364570882149</v>
      </c>
      <c r="L10" s="1">
        <f t="shared" si="17"/>
        <v>630.5453915371744</v>
      </c>
      <c r="M10" s="1">
        <f t="shared" si="17"/>
        <v>655.76720719866137</v>
      </c>
      <c r="Q10" s="1">
        <v>2257</v>
      </c>
      <c r="R10" s="1">
        <v>1809</v>
      </c>
      <c r="S10" s="1">
        <v>2001</v>
      </c>
      <c r="T10" s="1">
        <f>SUM(J10:M10)</f>
        <v>2475.5809037800623</v>
      </c>
      <c r="U10" s="1">
        <f t="shared" ref="U10:X10" si="18">T10*(1+U23)</f>
        <v>2599.3599489690655</v>
      </c>
      <c r="V10" s="1">
        <f t="shared" si="18"/>
        <v>2729.3279464175189</v>
      </c>
      <c r="W10" s="1">
        <f t="shared" si="18"/>
        <v>2865.7943437383951</v>
      </c>
      <c r="X10" s="1">
        <f t="shared" si="18"/>
        <v>3009.084060925315</v>
      </c>
    </row>
    <row r="11" spans="1:24" x14ac:dyDescent="0.2">
      <c r="A11" s="1" t="s">
        <v>17</v>
      </c>
      <c r="B11" s="1">
        <v>721</v>
      </c>
      <c r="C11" s="1">
        <v>743</v>
      </c>
      <c r="D11" s="1">
        <v>739</v>
      </c>
      <c r="E11" s="1">
        <v>770</v>
      </c>
      <c r="F11" s="1">
        <v>742</v>
      </c>
      <c r="G11" s="1">
        <v>718</v>
      </c>
      <c r="H11" s="1">
        <v>746</v>
      </c>
      <c r="I11" s="1">
        <v>773</v>
      </c>
      <c r="J11" s="1">
        <f>I11*(1+J24)</f>
        <v>719.87126464260098</v>
      </c>
      <c r="K11" s="1">
        <f t="shared" ref="K11:M11" si="19">J11*(1+K24)</f>
        <v>748.66611522830499</v>
      </c>
      <c r="L11" s="1">
        <f t="shared" si="19"/>
        <v>778.61275983743724</v>
      </c>
      <c r="M11" s="1">
        <f t="shared" si="19"/>
        <v>809.75727023093475</v>
      </c>
      <c r="Q11" s="1">
        <v>3253</v>
      </c>
      <c r="R11" s="1">
        <v>2973</v>
      </c>
      <c r="S11" s="1">
        <v>2979</v>
      </c>
      <c r="T11" s="1">
        <f>SUM(J11:M11)</f>
        <v>3056.9074099392783</v>
      </c>
      <c r="U11" s="1">
        <f t="shared" ref="U11:X11" si="20">T11*(1+U23)</f>
        <v>3209.7527804362421</v>
      </c>
      <c r="V11" s="1">
        <f t="shared" si="20"/>
        <v>3370.2404194580545</v>
      </c>
      <c r="W11" s="1">
        <f t="shared" si="20"/>
        <v>3538.7524404309574</v>
      </c>
      <c r="X11" s="1">
        <f t="shared" si="20"/>
        <v>3715.6900624525056</v>
      </c>
    </row>
    <row r="12" spans="1:24" x14ac:dyDescent="0.2">
      <c r="A12" s="1" t="s">
        <v>18</v>
      </c>
      <c r="B12" s="1">
        <v>507</v>
      </c>
      <c r="C12" s="1">
        <v>491</v>
      </c>
      <c r="D12" s="1">
        <v>507</v>
      </c>
      <c r="E12" s="1">
        <v>554</v>
      </c>
      <c r="F12" s="1">
        <v>464</v>
      </c>
      <c r="G12" s="1">
        <v>570</v>
      </c>
      <c r="H12" s="1">
        <v>519</v>
      </c>
      <c r="I12" s="1">
        <v>594</v>
      </c>
      <c r="J12" s="1">
        <f>I12*(1+J24)</f>
        <v>553.17403777193397</v>
      </c>
      <c r="K12" s="1">
        <f t="shared" ref="K12:M12" si="21">J12*(1+K24)</f>
        <v>575.30099928281129</v>
      </c>
      <c r="L12" s="1">
        <f t="shared" si="21"/>
        <v>598.31303925412374</v>
      </c>
      <c r="M12" s="1">
        <f t="shared" si="21"/>
        <v>622.24556082428876</v>
      </c>
      <c r="Q12" s="1">
        <v>2099</v>
      </c>
      <c r="R12" s="1">
        <v>2059</v>
      </c>
      <c r="S12" s="1">
        <v>2147</v>
      </c>
      <c r="T12" s="1">
        <f>SUM(J12:M12)</f>
        <v>2349.0336371331578</v>
      </c>
      <c r="U12" s="1">
        <f t="shared" ref="U12:X12" si="22">T12*(1+U23)</f>
        <v>2466.4853189898158</v>
      </c>
      <c r="V12" s="1">
        <f t="shared" si="22"/>
        <v>2589.8095849393067</v>
      </c>
      <c r="W12" s="1">
        <f t="shared" si="22"/>
        <v>2719.3000641862723</v>
      </c>
      <c r="X12" s="1">
        <f t="shared" si="22"/>
        <v>2855.2650673955859</v>
      </c>
    </row>
    <row r="13" spans="1:24" x14ac:dyDescent="0.2">
      <c r="A13" s="1" t="s">
        <v>19</v>
      </c>
      <c r="B13" s="1">
        <v>164</v>
      </c>
      <c r="C13" s="1">
        <v>24</v>
      </c>
      <c r="D13" s="1">
        <v>39</v>
      </c>
      <c r="E13" s="1">
        <v>-311</v>
      </c>
      <c r="F13" s="1">
        <v>212</v>
      </c>
      <c r="G13" s="1">
        <v>113</v>
      </c>
      <c r="H13" s="1">
        <v>63</v>
      </c>
      <c r="I13" s="1">
        <v>50</v>
      </c>
      <c r="J13" s="1">
        <f>I13*(1+J24)</f>
        <v>46.563471192923735</v>
      </c>
      <c r="K13" s="1">
        <f t="shared" ref="K13:M13" si="23">J13*(1+K24)</f>
        <v>48.426010040640683</v>
      </c>
      <c r="L13" s="1">
        <f t="shared" si="23"/>
        <v>50.363050442266314</v>
      </c>
      <c r="M13" s="1">
        <f t="shared" si="23"/>
        <v>52.377572459956966</v>
      </c>
      <c r="Q13" s="1">
        <v>207</v>
      </c>
      <c r="R13" s="1">
        <v>-84</v>
      </c>
      <c r="S13" s="1">
        <v>438</v>
      </c>
      <c r="T13" s="1">
        <f>SUM(J13:M13)</f>
        <v>197.73010413578771</v>
      </c>
      <c r="U13" s="1">
        <f t="shared" ref="U13:X13" si="24">T13*(1+U23)</f>
        <v>207.61660934257711</v>
      </c>
      <c r="V13" s="1">
        <f t="shared" si="24"/>
        <v>217.99743980970598</v>
      </c>
      <c r="W13" s="1">
        <f t="shared" si="24"/>
        <v>228.89731180019129</v>
      </c>
      <c r="X13" s="1">
        <f t="shared" si="24"/>
        <v>240.34217739020087</v>
      </c>
    </row>
    <row r="14" spans="1:24" x14ac:dyDescent="0.2">
      <c r="A14" s="1" t="s">
        <v>20</v>
      </c>
      <c r="B14" s="1">
        <f>SUM(B10:B13)</f>
        <v>1828</v>
      </c>
      <c r="C14" s="1">
        <f t="shared" ref="C14:K14" si="25">SUM(C10:C13)</f>
        <v>1723</v>
      </c>
      <c r="D14" s="1">
        <f t="shared" si="25"/>
        <v>1727</v>
      </c>
      <c r="E14" s="1">
        <f t="shared" si="25"/>
        <v>1479</v>
      </c>
      <c r="F14" s="1">
        <f t="shared" si="25"/>
        <v>1839</v>
      </c>
      <c r="G14" s="1">
        <f t="shared" si="25"/>
        <v>1847</v>
      </c>
      <c r="H14" s="1">
        <f t="shared" si="25"/>
        <v>1836</v>
      </c>
      <c r="I14" s="1">
        <f t="shared" si="25"/>
        <v>2043</v>
      </c>
      <c r="J14" s="1">
        <f t="shared" si="25"/>
        <v>1902.583432942864</v>
      </c>
      <c r="K14" s="1">
        <f t="shared" si="25"/>
        <v>1978.6867702605784</v>
      </c>
      <c r="L14" s="1">
        <f t="shared" ref="L14" si="26">SUM(L10:L13)</f>
        <v>2057.8342410710015</v>
      </c>
      <c r="M14" s="1">
        <f t="shared" ref="M14:P14" si="27">SUM(M10:M13)</f>
        <v>2140.1476107138419</v>
      </c>
      <c r="O14" s="1">
        <f t="shared" si="27"/>
        <v>0</v>
      </c>
      <c r="P14" s="1">
        <f t="shared" si="27"/>
        <v>0</v>
      </c>
      <c r="Q14" s="1">
        <f>SUM(Q10:Q13)</f>
        <v>7816</v>
      </c>
      <c r="R14" s="1">
        <f t="shared" ref="R14:X14" si="28">SUM(R10:R13)</f>
        <v>6757</v>
      </c>
      <c r="S14" s="1">
        <f t="shared" si="28"/>
        <v>7565</v>
      </c>
      <c r="T14" s="1">
        <f t="shared" si="28"/>
        <v>8079.2520549882865</v>
      </c>
      <c r="U14" s="1">
        <f t="shared" si="28"/>
        <v>8483.2146577377007</v>
      </c>
      <c r="V14" s="1">
        <f t="shared" si="28"/>
        <v>8907.3753906245856</v>
      </c>
      <c r="W14" s="1">
        <f t="shared" si="28"/>
        <v>9352.7441601558148</v>
      </c>
      <c r="X14" s="1">
        <f t="shared" si="28"/>
        <v>9820.3813681636075</v>
      </c>
    </row>
    <row r="15" spans="1:24" s="3" customFormat="1" x14ac:dyDescent="0.2">
      <c r="A15" s="3" t="s">
        <v>21</v>
      </c>
      <c r="B15" s="3">
        <f>B9-B14</f>
        <v>999</v>
      </c>
      <c r="C15" s="3">
        <f t="shared" ref="C15:K15" si="29">C9-C14</f>
        <v>1133</v>
      </c>
      <c r="D15" s="3">
        <f t="shared" si="29"/>
        <v>1168</v>
      </c>
      <c r="E15" s="3">
        <f t="shared" si="29"/>
        <v>1728</v>
      </c>
      <c r="F15" s="3">
        <f t="shared" si="29"/>
        <v>1168</v>
      </c>
      <c r="G15" s="3">
        <f t="shared" si="29"/>
        <v>1325</v>
      </c>
      <c r="H15" s="3">
        <f t="shared" si="29"/>
        <v>1391</v>
      </c>
      <c r="I15" s="3">
        <f t="shared" si="29"/>
        <v>1441</v>
      </c>
      <c r="J15" s="3">
        <f t="shared" si="29"/>
        <v>1341.959239780062</v>
      </c>
      <c r="K15" s="3">
        <f t="shared" si="29"/>
        <v>1395.6376093712645</v>
      </c>
      <c r="L15" s="3">
        <f t="shared" ref="L15" si="30">L9-L14</f>
        <v>1451.4631137461161</v>
      </c>
      <c r="M15" s="3">
        <f t="shared" ref="M15:P15" si="31">M9-M14</f>
        <v>1509.5216382959602</v>
      </c>
      <c r="O15" s="3">
        <f t="shared" si="31"/>
        <v>0</v>
      </c>
      <c r="P15" s="3">
        <f t="shared" si="31"/>
        <v>0</v>
      </c>
      <c r="Q15" s="3">
        <f>Q9-Q14</f>
        <v>3837</v>
      </c>
      <c r="R15" s="3">
        <f t="shared" ref="R15:S15" si="32">R9-R14</f>
        <v>5028</v>
      </c>
      <c r="S15" s="3">
        <f t="shared" si="32"/>
        <v>5325</v>
      </c>
      <c r="T15" s="3">
        <f t="shared" ref="T15:X15" si="33">T9-T14</f>
        <v>5698.5816011934039</v>
      </c>
      <c r="U15" s="3">
        <f t="shared" si="33"/>
        <v>5983.5106812530776</v>
      </c>
      <c r="V15" s="3">
        <f t="shared" si="33"/>
        <v>6282.686215315729</v>
      </c>
      <c r="W15" s="3">
        <f t="shared" si="33"/>
        <v>6596.8205260815175</v>
      </c>
      <c r="X15" s="3">
        <f t="shared" si="33"/>
        <v>6926.6615523855853</v>
      </c>
    </row>
    <row r="16" spans="1:24" x14ac:dyDescent="0.2">
      <c r="A16" s="1" t="s">
        <v>52</v>
      </c>
      <c r="B16" s="1">
        <v>75</v>
      </c>
      <c r="C16" s="1">
        <v>170</v>
      </c>
      <c r="D16" s="1">
        <v>73</v>
      </c>
      <c r="E16" s="1">
        <v>65</v>
      </c>
      <c r="F16" s="1">
        <v>41</v>
      </c>
      <c r="G16" s="1">
        <v>74</v>
      </c>
      <c r="H16" s="1">
        <v>-80</v>
      </c>
      <c r="I16" s="1">
        <v>-31</v>
      </c>
      <c r="J16" s="1">
        <f>I34*$AA$22/4</f>
        <v>4.72</v>
      </c>
      <c r="K16" s="1">
        <f>J34*$AA$22/4</f>
        <v>10.106716959120249</v>
      </c>
      <c r="L16" s="1">
        <f>K34*$AA$22/4</f>
        <v>16.306716959120248</v>
      </c>
      <c r="M16" s="1">
        <f>L34*$AA$22/4</f>
        <v>22.177796281941191</v>
      </c>
      <c r="Q16" s="1">
        <v>-471</v>
      </c>
      <c r="R16" s="1">
        <v>383</v>
      </c>
      <c r="S16" s="1">
        <v>4</v>
      </c>
      <c r="T16" s="1">
        <f>SUM(J16:M16)</f>
        <v>53.311230200181683</v>
      </c>
      <c r="U16" s="1">
        <f>T34*$AA$22</f>
        <v>113.2183760810112</v>
      </c>
      <c r="V16" s="1">
        <f>U34*$AA$22</f>
        <v>210.76604099835663</v>
      </c>
      <c r="W16" s="1">
        <f>V34*$AA$22</f>
        <v>314.661277099382</v>
      </c>
      <c r="X16" s="1">
        <f>W34*$AA$22</f>
        <v>425.24498595027637</v>
      </c>
    </row>
    <row r="17" spans="1:170" x14ac:dyDescent="0.2">
      <c r="A17" s="1" t="s">
        <v>22</v>
      </c>
      <c r="B17" s="1">
        <f>B15+B16</f>
        <v>1074</v>
      </c>
      <c r="C17" s="1">
        <f t="shared" ref="C17:K17" si="34">C15+C16</f>
        <v>1303</v>
      </c>
      <c r="D17" s="1">
        <f t="shared" si="34"/>
        <v>1241</v>
      </c>
      <c r="E17" s="1">
        <f t="shared" si="34"/>
        <v>1793</v>
      </c>
      <c r="F17" s="1">
        <f t="shared" si="34"/>
        <v>1209</v>
      </c>
      <c r="G17" s="1">
        <f t="shared" si="34"/>
        <v>1399</v>
      </c>
      <c r="H17" s="1">
        <f t="shared" si="34"/>
        <v>1311</v>
      </c>
      <c r="I17" s="1">
        <f t="shared" si="34"/>
        <v>1410</v>
      </c>
      <c r="J17" s="1">
        <f t="shared" si="34"/>
        <v>1346.6792397800621</v>
      </c>
      <c r="K17" s="1">
        <f t="shared" si="34"/>
        <v>1405.7443263303846</v>
      </c>
      <c r="L17" s="1">
        <f t="shared" ref="L17" si="35">L15+L16</f>
        <v>1467.7698307052362</v>
      </c>
      <c r="M17" s="1">
        <f t="shared" ref="M17:P17" si="36">M15+M16</f>
        <v>1531.6994345779015</v>
      </c>
      <c r="O17" s="1">
        <f t="shared" si="36"/>
        <v>0</v>
      </c>
      <c r="P17" s="1">
        <f t="shared" si="36"/>
        <v>0</v>
      </c>
      <c r="Q17" s="1">
        <f>Q15+Q16</f>
        <v>3366</v>
      </c>
      <c r="R17" s="1">
        <f t="shared" ref="R17:S17" si="37">R15+R16</f>
        <v>5411</v>
      </c>
      <c r="S17" s="1">
        <f t="shared" si="37"/>
        <v>5329</v>
      </c>
      <c r="T17" s="1">
        <f t="shared" ref="T17" si="38">T15+T16</f>
        <v>5751.8928313935858</v>
      </c>
      <c r="U17" s="1">
        <f t="shared" ref="U17" si="39">U15+U16</f>
        <v>6096.7290573340888</v>
      </c>
      <c r="V17" s="1">
        <f t="shared" ref="V17" si="40">V15+V16</f>
        <v>6493.4522563140854</v>
      </c>
      <c r="W17" s="1">
        <f t="shared" ref="W17" si="41">W15+W16</f>
        <v>6911.4818031808991</v>
      </c>
      <c r="X17" s="1">
        <f t="shared" ref="X17" si="42">X15+X16</f>
        <v>7351.906538335862</v>
      </c>
    </row>
    <row r="18" spans="1:170" x14ac:dyDescent="0.2">
      <c r="A18" s="1" t="s">
        <v>23</v>
      </c>
      <c r="B18" s="1">
        <v>279</v>
      </c>
      <c r="C18" s="1">
        <v>274</v>
      </c>
      <c r="D18" s="1">
        <v>221</v>
      </c>
      <c r="E18" s="1">
        <v>391</v>
      </c>
      <c r="F18" s="1">
        <v>321</v>
      </c>
      <c r="G18" s="1">
        <v>271</v>
      </c>
      <c r="H18" s="1">
        <v>301</v>
      </c>
      <c r="I18" s="1">
        <v>289</v>
      </c>
      <c r="J18" s="1">
        <f>J17*0.2</f>
        <v>269.3358479560124</v>
      </c>
      <c r="K18" s="1">
        <f t="shared" ref="K18:M18" si="43">K17*0.2</f>
        <v>281.14886526607694</v>
      </c>
      <c r="L18" s="1">
        <f t="shared" si="43"/>
        <v>293.55396614104728</v>
      </c>
      <c r="M18" s="1">
        <f t="shared" si="43"/>
        <v>306.33988691558028</v>
      </c>
      <c r="Q18" s="1">
        <v>947</v>
      </c>
      <c r="R18" s="1">
        <v>1165</v>
      </c>
      <c r="S18" s="1">
        <v>1182</v>
      </c>
      <c r="T18" s="1">
        <f>T17*0.2</f>
        <v>1150.3785662787172</v>
      </c>
      <c r="U18" s="1">
        <f t="shared" ref="U18:X18" si="44">U17*0.2</f>
        <v>1219.3458114668178</v>
      </c>
      <c r="V18" s="1">
        <f t="shared" si="44"/>
        <v>1298.6904512628171</v>
      </c>
      <c r="W18" s="1">
        <f t="shared" si="44"/>
        <v>1382.29636063618</v>
      </c>
      <c r="X18" s="1">
        <f t="shared" si="44"/>
        <v>1470.3813076671725</v>
      </c>
    </row>
    <row r="19" spans="1:170" s="3" customFormat="1" x14ac:dyDescent="0.2">
      <c r="A19" s="3" t="s">
        <v>24</v>
      </c>
      <c r="B19" s="3">
        <f>B17-B18</f>
        <v>795</v>
      </c>
      <c r="C19" s="3">
        <f t="shared" ref="C19:J19" si="45">C17-C18</f>
        <v>1029</v>
      </c>
      <c r="D19" s="3">
        <f t="shared" si="45"/>
        <v>1020</v>
      </c>
      <c r="E19" s="3">
        <f t="shared" si="45"/>
        <v>1402</v>
      </c>
      <c r="F19" s="3">
        <f t="shared" si="45"/>
        <v>888</v>
      </c>
      <c r="G19" s="3">
        <f t="shared" si="45"/>
        <v>1128</v>
      </c>
      <c r="H19" s="3">
        <f t="shared" si="45"/>
        <v>1010</v>
      </c>
      <c r="I19" s="3">
        <f t="shared" si="45"/>
        <v>1121</v>
      </c>
      <c r="J19" s="3">
        <f t="shared" si="45"/>
        <v>1077.3433918240496</v>
      </c>
      <c r="K19" s="3">
        <v>1240</v>
      </c>
      <c r="L19" s="3">
        <f t="shared" ref="L19" si="46">L17-L18</f>
        <v>1174.2158645641889</v>
      </c>
      <c r="M19" s="3">
        <f t="shared" ref="M19:P19" si="47">M17-M18</f>
        <v>1225.3595476623211</v>
      </c>
      <c r="O19" s="3">
        <f t="shared" si="47"/>
        <v>0</v>
      </c>
      <c r="P19" s="3">
        <f t="shared" si="47"/>
        <v>0</v>
      </c>
      <c r="Q19" s="3">
        <f>Q17-Q18</f>
        <v>2419</v>
      </c>
      <c r="R19" s="3">
        <f t="shared" ref="R19:S19" si="48">R17-R18</f>
        <v>4246</v>
      </c>
      <c r="S19" s="3">
        <f t="shared" si="48"/>
        <v>4147</v>
      </c>
      <c r="T19" s="3">
        <f t="shared" ref="T19" si="49">T17-T18</f>
        <v>4601.514265114869</v>
      </c>
      <c r="U19" s="3">
        <f t="shared" ref="U19" si="50">U17-U18</f>
        <v>4877.3832458672714</v>
      </c>
      <c r="V19" s="3">
        <f t="shared" ref="V19" si="51">V17-V18</f>
        <v>5194.7618050512683</v>
      </c>
      <c r="W19" s="3">
        <f t="shared" ref="W19" si="52">W17-W18</f>
        <v>5529.1854425447191</v>
      </c>
      <c r="X19" s="3">
        <f t="shared" ref="X19" si="53">X17-X18</f>
        <v>5881.5252306686898</v>
      </c>
      <c r="Y19" s="3">
        <f t="shared" ref="Y19:BD19" si="54">X19*(1+$AA$23)</f>
        <v>5940.3404829753772</v>
      </c>
      <c r="Z19" s="3">
        <f t="shared" si="54"/>
        <v>5999.7438878051307</v>
      </c>
      <c r="AA19" s="3">
        <f t="shared" si="54"/>
        <v>6059.7413266831818</v>
      </c>
      <c r="AB19" s="3">
        <f t="shared" si="54"/>
        <v>6120.3387399500134</v>
      </c>
      <c r="AC19" s="3">
        <f t="shared" si="54"/>
        <v>6181.542127349514</v>
      </c>
      <c r="AD19" s="3">
        <f t="shared" si="54"/>
        <v>6243.3575486230093</v>
      </c>
      <c r="AE19" s="3">
        <f t="shared" si="54"/>
        <v>6305.7911241092397</v>
      </c>
      <c r="AF19" s="3">
        <f t="shared" si="54"/>
        <v>6368.8490353503321</v>
      </c>
      <c r="AG19" s="3">
        <f t="shared" si="54"/>
        <v>6432.5375257038359</v>
      </c>
      <c r="AH19" s="3">
        <f t="shared" si="54"/>
        <v>6496.862900960874</v>
      </c>
      <c r="AI19" s="3">
        <f t="shared" si="54"/>
        <v>6561.8315299704827</v>
      </c>
      <c r="AJ19" s="3">
        <f t="shared" si="54"/>
        <v>6627.4498452701873</v>
      </c>
      <c r="AK19" s="3">
        <f t="shared" si="54"/>
        <v>6693.724343722889</v>
      </c>
      <c r="AL19" s="3">
        <f t="shared" si="54"/>
        <v>6760.661587160118</v>
      </c>
      <c r="AM19" s="3">
        <f t="shared" si="54"/>
        <v>6828.2682030317192</v>
      </c>
      <c r="AN19" s="3">
        <f t="shared" si="54"/>
        <v>6896.5508850620363</v>
      </c>
      <c r="AO19" s="3">
        <f t="shared" si="54"/>
        <v>6965.5163939126569</v>
      </c>
      <c r="AP19" s="3">
        <f t="shared" si="54"/>
        <v>7035.1715578517833</v>
      </c>
      <c r="AQ19" s="3">
        <f t="shared" si="54"/>
        <v>7105.5232734303008</v>
      </c>
      <c r="AR19" s="3">
        <f t="shared" si="54"/>
        <v>7176.5785061646038</v>
      </c>
      <c r="AS19" s="3">
        <f t="shared" si="54"/>
        <v>7248.3442912262499</v>
      </c>
      <c r="AT19" s="3">
        <f t="shared" si="54"/>
        <v>7320.8277341385128</v>
      </c>
      <c r="AU19" s="3">
        <f t="shared" si="54"/>
        <v>7394.0360114798978</v>
      </c>
      <c r="AV19" s="3">
        <f t="shared" si="54"/>
        <v>7467.9763715946965</v>
      </c>
      <c r="AW19" s="3">
        <f t="shared" si="54"/>
        <v>7542.6561353106435</v>
      </c>
      <c r="AX19" s="3">
        <f t="shared" si="54"/>
        <v>7618.0826966637496</v>
      </c>
      <c r="AY19" s="3">
        <f t="shared" si="54"/>
        <v>7694.2635236303868</v>
      </c>
      <c r="AZ19" s="3">
        <f t="shared" si="54"/>
        <v>7771.2061588666911</v>
      </c>
      <c r="BA19" s="3">
        <f t="shared" si="54"/>
        <v>7848.9182204553581</v>
      </c>
      <c r="BB19" s="3">
        <f t="shared" si="54"/>
        <v>7927.4074026599119</v>
      </c>
      <c r="BC19" s="3">
        <f t="shared" si="54"/>
        <v>8006.6814766865109</v>
      </c>
      <c r="BD19" s="3">
        <f t="shared" si="54"/>
        <v>8086.7482914533757</v>
      </c>
      <c r="BE19" s="3">
        <f t="shared" ref="BE19:CJ19" si="55">BD19*(1+$AA$23)</f>
        <v>8167.6157743679096</v>
      </c>
      <c r="BF19" s="3">
        <f t="shared" si="55"/>
        <v>8249.2919321115896</v>
      </c>
      <c r="BG19" s="3">
        <f t="shared" si="55"/>
        <v>8331.7848514327052</v>
      </c>
      <c r="BH19" s="3">
        <f t="shared" si="55"/>
        <v>8415.1026999470323</v>
      </c>
      <c r="BI19" s="3">
        <f t="shared" si="55"/>
        <v>8499.2537269465029</v>
      </c>
      <c r="BJ19" s="3">
        <f t="shared" si="55"/>
        <v>8584.246264215968</v>
      </c>
      <c r="BK19" s="3">
        <f t="shared" si="55"/>
        <v>8670.0887268581282</v>
      </c>
      <c r="BL19" s="3">
        <f t="shared" si="55"/>
        <v>8756.7896141267101</v>
      </c>
      <c r="BM19" s="3">
        <f t="shared" si="55"/>
        <v>8844.357510267977</v>
      </c>
      <c r="BN19" s="3">
        <f t="shared" si="55"/>
        <v>8932.8010853706564</v>
      </c>
      <c r="BO19" s="3">
        <f t="shared" si="55"/>
        <v>9022.1290962243638</v>
      </c>
      <c r="BP19" s="3">
        <f t="shared" si="55"/>
        <v>9112.3503871866069</v>
      </c>
      <c r="BQ19" s="3">
        <f t="shared" si="55"/>
        <v>9203.4738910584729</v>
      </c>
      <c r="BR19" s="3">
        <f t="shared" si="55"/>
        <v>9295.5086299690574</v>
      </c>
      <c r="BS19" s="3">
        <f t="shared" si="55"/>
        <v>9388.4637162687486</v>
      </c>
      <c r="BT19" s="3">
        <f t="shared" si="55"/>
        <v>9482.3483534314364</v>
      </c>
      <c r="BU19" s="3">
        <f t="shared" si="55"/>
        <v>9577.1718369657501</v>
      </c>
      <c r="BV19" s="3">
        <f t="shared" si="55"/>
        <v>9672.9435553354069</v>
      </c>
      <c r="BW19" s="3">
        <f t="shared" si="55"/>
        <v>9769.672990888761</v>
      </c>
      <c r="BX19" s="3">
        <f t="shared" si="55"/>
        <v>9867.3697207976493</v>
      </c>
      <c r="BY19" s="3">
        <f t="shared" si="55"/>
        <v>9966.0434180056254</v>
      </c>
      <c r="BZ19" s="3">
        <f t="shared" si="55"/>
        <v>10065.703852185681</v>
      </c>
      <c r="CA19" s="3">
        <f t="shared" si="55"/>
        <v>10166.360890707538</v>
      </c>
      <c r="CB19" s="3">
        <f t="shared" si="55"/>
        <v>10268.024499614614</v>
      </c>
      <c r="CC19" s="3">
        <f t="shared" si="55"/>
        <v>10370.704744610761</v>
      </c>
      <c r="CD19" s="3">
        <f t="shared" si="55"/>
        <v>10474.411792056868</v>
      </c>
      <c r="CE19" s="3">
        <f t="shared" si="55"/>
        <v>10579.155909977437</v>
      </c>
      <c r="CF19" s="3">
        <f t="shared" si="55"/>
        <v>10684.947469077211</v>
      </c>
      <c r="CG19" s="3">
        <f t="shared" si="55"/>
        <v>10791.796943767984</v>
      </c>
      <c r="CH19" s="3">
        <f t="shared" si="55"/>
        <v>10899.714913205664</v>
      </c>
      <c r="CI19" s="3">
        <f t="shared" si="55"/>
        <v>11008.712062337721</v>
      </c>
      <c r="CJ19" s="3">
        <f t="shared" si="55"/>
        <v>11118.799182961098</v>
      </c>
      <c r="CK19" s="3">
        <f t="shared" ref="CK19:DP19" si="56">CJ19*(1+$AA$23)</f>
        <v>11229.987174790709</v>
      </c>
      <c r="CL19" s="3">
        <f t="shared" si="56"/>
        <v>11342.287046538617</v>
      </c>
      <c r="CM19" s="3">
        <f t="shared" si="56"/>
        <v>11455.709917004004</v>
      </c>
      <c r="CN19" s="3">
        <f t="shared" si="56"/>
        <v>11570.267016174044</v>
      </c>
      <c r="CO19" s="3">
        <f t="shared" si="56"/>
        <v>11685.969686335784</v>
      </c>
      <c r="CP19" s="3">
        <f t="shared" si="56"/>
        <v>11802.829383199141</v>
      </c>
      <c r="CQ19" s="3">
        <f t="shared" si="56"/>
        <v>11920.857677031134</v>
      </c>
      <c r="CR19" s="3">
        <f t="shared" si="56"/>
        <v>12040.066253801446</v>
      </c>
      <c r="CS19" s="3">
        <f t="shared" si="56"/>
        <v>12160.466916339461</v>
      </c>
      <c r="CT19" s="3">
        <f t="shared" si="56"/>
        <v>12282.071585502856</v>
      </c>
      <c r="CU19" s="3">
        <f t="shared" si="56"/>
        <v>12404.892301357884</v>
      </c>
      <c r="CV19" s="3">
        <f t="shared" si="56"/>
        <v>12528.941224371463</v>
      </c>
      <c r="CW19" s="3">
        <f t="shared" si="56"/>
        <v>12654.230636615179</v>
      </c>
      <c r="CX19" s="3">
        <f t="shared" si="56"/>
        <v>12780.77294298133</v>
      </c>
      <c r="CY19" s="3">
        <f t="shared" si="56"/>
        <v>12908.580672411143</v>
      </c>
      <c r="CZ19" s="3">
        <f t="shared" si="56"/>
        <v>13037.666479135254</v>
      </c>
      <c r="DA19" s="3">
        <f t="shared" si="56"/>
        <v>13168.043143926607</v>
      </c>
      <c r="DB19" s="3">
        <f t="shared" si="56"/>
        <v>13299.723575365873</v>
      </c>
      <c r="DC19" s="3">
        <f t="shared" si="56"/>
        <v>13432.720811119532</v>
      </c>
      <c r="DD19" s="3">
        <f t="shared" si="56"/>
        <v>13567.048019230728</v>
      </c>
      <c r="DE19" s="3">
        <f t="shared" si="56"/>
        <v>13702.718499423036</v>
      </c>
      <c r="DF19" s="3">
        <f t="shared" si="56"/>
        <v>13839.745684417267</v>
      </c>
      <c r="DG19" s="3">
        <f t="shared" si="56"/>
        <v>13978.14314126144</v>
      </c>
      <c r="DH19" s="3">
        <f t="shared" si="56"/>
        <v>14117.924572674056</v>
      </c>
      <c r="DI19" s="3">
        <f t="shared" si="56"/>
        <v>14259.103818400796</v>
      </c>
      <c r="DJ19" s="3">
        <f t="shared" si="56"/>
        <v>14401.694856584803</v>
      </c>
      <c r="DK19" s="3">
        <f t="shared" si="56"/>
        <v>14545.711805150651</v>
      </c>
      <c r="DL19" s="3">
        <f t="shared" si="56"/>
        <v>14691.168923202158</v>
      </c>
      <c r="DM19" s="3">
        <f t="shared" si="56"/>
        <v>14838.08061243418</v>
      </c>
      <c r="DN19" s="3">
        <f t="shared" si="56"/>
        <v>14986.461418558521</v>
      </c>
      <c r="DO19" s="3">
        <f t="shared" si="56"/>
        <v>15136.326032744108</v>
      </c>
      <c r="DP19" s="3">
        <f t="shared" si="56"/>
        <v>15287.689293071549</v>
      </c>
      <c r="DQ19" s="3">
        <f t="shared" ref="DQ19:EV19" si="57">DP19*(1+$AA$23)</f>
        <v>15440.566186002265</v>
      </c>
      <c r="DR19" s="3">
        <f t="shared" si="57"/>
        <v>15594.971847862287</v>
      </c>
      <c r="DS19" s="3">
        <f t="shared" si="57"/>
        <v>15750.92156634091</v>
      </c>
      <c r="DT19" s="3">
        <f t="shared" si="57"/>
        <v>15908.43078200432</v>
      </c>
      <c r="DU19" s="3">
        <f t="shared" si="57"/>
        <v>16067.515089824363</v>
      </c>
      <c r="DV19" s="3">
        <f t="shared" si="57"/>
        <v>16228.190240722606</v>
      </c>
      <c r="DW19" s="3">
        <f t="shared" si="57"/>
        <v>16390.472143129831</v>
      </c>
      <c r="DX19" s="3">
        <f t="shared" si="57"/>
        <v>16554.376864561131</v>
      </c>
      <c r="DY19" s="3">
        <f t="shared" si="57"/>
        <v>16719.920633206741</v>
      </c>
      <c r="DZ19" s="3">
        <f t="shared" si="57"/>
        <v>16887.119839538809</v>
      </c>
      <c r="EA19" s="3">
        <f t="shared" si="57"/>
        <v>17055.991037934196</v>
      </c>
      <c r="EB19" s="3">
        <f t="shared" si="57"/>
        <v>17226.550948313539</v>
      </c>
      <c r="EC19" s="3">
        <f t="shared" si="57"/>
        <v>17398.816457796675</v>
      </c>
      <c r="ED19" s="3">
        <f t="shared" si="57"/>
        <v>17572.804622374642</v>
      </c>
      <c r="EE19" s="3">
        <f t="shared" si="57"/>
        <v>17748.532668598389</v>
      </c>
      <c r="EF19" s="3">
        <f t="shared" si="57"/>
        <v>17926.017995284372</v>
      </c>
      <c r="EG19" s="3">
        <f t="shared" si="57"/>
        <v>18105.278175237218</v>
      </c>
      <c r="EH19" s="3">
        <f t="shared" si="57"/>
        <v>18286.33095698959</v>
      </c>
      <c r="EI19" s="3">
        <f t="shared" si="57"/>
        <v>18469.194266559487</v>
      </c>
      <c r="EJ19" s="3">
        <f t="shared" si="57"/>
        <v>18653.886209225082</v>
      </c>
      <c r="EK19" s="3">
        <f t="shared" si="57"/>
        <v>18840.425071317331</v>
      </c>
      <c r="EL19" s="3">
        <f t="shared" si="57"/>
        <v>19028.829322030506</v>
      </c>
      <c r="EM19" s="3">
        <f t="shared" si="57"/>
        <v>19219.117615250812</v>
      </c>
      <c r="EN19" s="3">
        <f t="shared" si="57"/>
        <v>19411.30879140332</v>
      </c>
      <c r="EO19" s="3">
        <f t="shared" si="57"/>
        <v>19605.421879317353</v>
      </c>
      <c r="EP19" s="3">
        <f t="shared" si="57"/>
        <v>19801.476098110528</v>
      </c>
      <c r="EQ19" s="3">
        <f t="shared" si="57"/>
        <v>19999.490859091635</v>
      </c>
      <c r="ER19" s="3">
        <f t="shared" si="57"/>
        <v>20199.485767682552</v>
      </c>
      <c r="ES19" s="3">
        <f t="shared" si="57"/>
        <v>20401.480625359378</v>
      </c>
      <c r="ET19" s="3">
        <f t="shared" si="57"/>
        <v>20605.495431612973</v>
      </c>
      <c r="EU19" s="3">
        <f t="shared" si="57"/>
        <v>20811.550385929102</v>
      </c>
      <c r="EV19" s="3">
        <f t="shared" si="57"/>
        <v>21019.665889788394</v>
      </c>
      <c r="EW19" s="3">
        <f t="shared" ref="EW19:FN19" si="58">EV19*(1+$AA$23)</f>
        <v>21229.862548686277</v>
      </c>
      <c r="EX19" s="3">
        <f t="shared" si="58"/>
        <v>21442.161174173139</v>
      </c>
      <c r="EY19" s="3">
        <f t="shared" si="58"/>
        <v>21656.58278591487</v>
      </c>
      <c r="EZ19" s="3">
        <f t="shared" si="58"/>
        <v>21873.148613774018</v>
      </c>
      <c r="FA19" s="3">
        <f t="shared" si="58"/>
        <v>22091.880099911759</v>
      </c>
      <c r="FB19" s="3">
        <f t="shared" si="58"/>
        <v>22312.798900910879</v>
      </c>
      <c r="FC19" s="3">
        <f t="shared" si="58"/>
        <v>22535.926889919989</v>
      </c>
      <c r="FD19" s="3">
        <f t="shared" si="58"/>
        <v>22761.286158819188</v>
      </c>
      <c r="FE19" s="3">
        <f t="shared" si="58"/>
        <v>22988.899020407382</v>
      </c>
      <c r="FF19" s="3">
        <f t="shared" si="58"/>
        <v>23218.788010611457</v>
      </c>
      <c r="FG19" s="3">
        <f t="shared" si="58"/>
        <v>23450.975890717571</v>
      </c>
      <c r="FH19" s="3">
        <f t="shared" si="58"/>
        <v>23685.485649624748</v>
      </c>
      <c r="FI19" s="3">
        <f t="shared" si="58"/>
        <v>23922.340506120996</v>
      </c>
      <c r="FJ19" s="3">
        <f t="shared" si="58"/>
        <v>24161.563911182206</v>
      </c>
      <c r="FK19" s="3">
        <f t="shared" si="58"/>
        <v>24403.179550294029</v>
      </c>
      <c r="FL19" s="3">
        <f t="shared" si="58"/>
        <v>24647.211345796972</v>
      </c>
      <c r="FM19" s="3">
        <f t="shared" si="58"/>
        <v>24893.683459254942</v>
      </c>
      <c r="FN19" s="3">
        <f t="shared" si="58"/>
        <v>25142.620293847493</v>
      </c>
    </row>
    <row r="20" spans="1:170" x14ac:dyDescent="0.2">
      <c r="A20" s="1" t="s">
        <v>1</v>
      </c>
      <c r="B20" s="1">
        <v>1134</v>
      </c>
      <c r="C20" s="1">
        <v>1114</v>
      </c>
      <c r="D20" s="1">
        <v>1098</v>
      </c>
      <c r="E20" s="1">
        <v>1084</v>
      </c>
      <c r="F20" s="1">
        <v>1072</v>
      </c>
      <c r="G20" s="1">
        <v>1047</v>
      </c>
      <c r="H20" s="1">
        <v>1024</v>
      </c>
      <c r="I20" s="1">
        <v>1014</v>
      </c>
      <c r="J20" s="1">
        <f t="shared" ref="J20:M20" si="59">I20*0.99</f>
        <v>1003.86</v>
      </c>
      <c r="K20" s="1">
        <f t="shared" si="59"/>
        <v>993.82140000000004</v>
      </c>
      <c r="L20" s="1">
        <f t="shared" si="59"/>
        <v>983.88318600000002</v>
      </c>
      <c r="M20" s="1">
        <f t="shared" si="59"/>
        <v>974.04435414</v>
      </c>
      <c r="N20" s="4"/>
      <c r="Q20" s="1">
        <v>1158</v>
      </c>
      <c r="R20" s="1">
        <v>1107</v>
      </c>
      <c r="S20" s="1">
        <v>1039</v>
      </c>
      <c r="T20" s="1">
        <f>M20</f>
        <v>974.04435414</v>
      </c>
      <c r="U20" s="1">
        <f>T20*0.96</f>
        <v>935.08257997440001</v>
      </c>
      <c r="V20" s="1">
        <f t="shared" ref="V20:X20" si="60">U20*0.96</f>
        <v>897.679276775424</v>
      </c>
      <c r="W20" s="1">
        <f t="shared" si="60"/>
        <v>861.77210570440695</v>
      </c>
      <c r="X20" s="1">
        <f t="shared" si="60"/>
        <v>827.30122147623069</v>
      </c>
    </row>
    <row r="21" spans="1:170" x14ac:dyDescent="0.2">
      <c r="A21" s="1" t="s">
        <v>6</v>
      </c>
      <c r="B21" s="5">
        <f t="shared" ref="B21:I21" si="61">B19/B20</f>
        <v>0.70105820105820105</v>
      </c>
      <c r="C21" s="5">
        <f t="shared" si="61"/>
        <v>0.92369838420107719</v>
      </c>
      <c r="D21" s="5">
        <f t="shared" si="61"/>
        <v>0.92896174863387981</v>
      </c>
      <c r="E21" s="5">
        <f t="shared" si="61"/>
        <v>1.2933579335793357</v>
      </c>
      <c r="F21" s="5">
        <f t="shared" si="61"/>
        <v>0.82835820895522383</v>
      </c>
      <c r="G21" s="5">
        <f t="shared" si="61"/>
        <v>1.0773638968481376</v>
      </c>
      <c r="H21" s="5">
        <f t="shared" si="61"/>
        <v>0.986328125</v>
      </c>
      <c r="I21" s="5">
        <f t="shared" si="61"/>
        <v>1.1055226824457594</v>
      </c>
      <c r="J21" s="5">
        <v>1.1299999999999999</v>
      </c>
      <c r="K21" s="5">
        <f>K19/K20</f>
        <v>1.247709095416943</v>
      </c>
      <c r="L21" s="5">
        <f t="shared" ref="L21:M21" si="62">L19/L20</f>
        <v>1.1934504840335678</v>
      </c>
      <c r="M21" s="5">
        <f t="shared" si="62"/>
        <v>1.2580120632640097</v>
      </c>
      <c r="Q21" s="5">
        <f>Q19/Q20</f>
        <v>2.0889464594127807</v>
      </c>
      <c r="R21" s="5">
        <f>R19/R20</f>
        <v>3.8355916892502258</v>
      </c>
      <c r="S21" s="5">
        <f>S19/S20</f>
        <v>3.991337824831569</v>
      </c>
      <c r="T21" s="5">
        <f t="shared" ref="T21:X21" si="63">T19/T20</f>
        <v>4.7241321666276921</v>
      </c>
      <c r="U21" s="5">
        <f t="shared" si="63"/>
        <v>5.2159919886442552</v>
      </c>
      <c r="V21" s="5">
        <f t="shared" si="63"/>
        <v>5.7868795007850702</v>
      </c>
      <c r="W21" s="5">
        <f t="shared" si="63"/>
        <v>6.416064532542741</v>
      </c>
      <c r="X21" s="5">
        <f t="shared" si="63"/>
        <v>7.1092911239436294</v>
      </c>
    </row>
    <row r="22" spans="1:170" x14ac:dyDescent="0.2">
      <c r="F22" s="4"/>
      <c r="I22" s="6"/>
      <c r="Z22" s="1" t="s">
        <v>43</v>
      </c>
      <c r="AA22" s="6">
        <v>0.02</v>
      </c>
    </row>
    <row r="23" spans="1:170" s="3" customFormat="1" x14ac:dyDescent="0.2">
      <c r="A23" s="3" t="s">
        <v>25</v>
      </c>
      <c r="B23" s="7"/>
      <c r="C23" s="7"/>
      <c r="D23" s="7"/>
      <c r="E23" s="7"/>
      <c r="F23" s="7">
        <f t="shared" ref="F23:M23" si="64">F4/B4-1</f>
        <v>9.3607954545454453E-2</v>
      </c>
      <c r="G23" s="7">
        <f t="shared" si="64"/>
        <v>8.2063949499108002E-2</v>
      </c>
      <c r="H23" s="7">
        <f t="shared" si="64"/>
        <v>5.7832299811269916E-2</v>
      </c>
      <c r="I23" s="7">
        <f t="shared" si="64"/>
        <v>4.2362322452030865E-2</v>
      </c>
      <c r="J23" s="7">
        <f t="shared" si="64"/>
        <v>1.1949603844655154E-2</v>
      </c>
      <c r="K23" s="7">
        <f t="shared" si="64"/>
        <v>2.7601775523145244E-2</v>
      </c>
      <c r="L23" s="7">
        <f t="shared" si="64"/>
        <v>7.3881177520071395E-2</v>
      </c>
      <c r="M23" s="7">
        <f t="shared" si="64"/>
        <v>4.755144919913934E-2</v>
      </c>
      <c r="N23" s="7"/>
      <c r="O23" s="7" t="e">
        <f>O4/N4-1</f>
        <v>#DIV/0!</v>
      </c>
      <c r="P23" s="7" t="e">
        <f t="shared" ref="P23:Q23" si="65">P4/O4-1</f>
        <v>#DIV/0!</v>
      </c>
      <c r="Q23" s="7" t="e">
        <f t="shared" si="65"/>
        <v>#DIV/0!</v>
      </c>
      <c r="R23" s="7">
        <f>R4/Q4-1</f>
        <v>8.1873682680427384E-2</v>
      </c>
      <c r="S23" s="7">
        <f>S4/R4-1</f>
        <v>6.8052803063383793E-2</v>
      </c>
      <c r="T23" s="7">
        <f t="shared" ref="T23:X23" si="66">T4/S4-1</f>
        <v>4.0481838664024883E-2</v>
      </c>
      <c r="U23" s="7">
        <f t="shared" si="66"/>
        <v>5.0000000000000044E-2</v>
      </c>
      <c r="V23" s="7">
        <f t="shared" si="66"/>
        <v>5.0000000000000044E-2</v>
      </c>
      <c r="W23" s="7">
        <f t="shared" si="66"/>
        <v>5.0000000000000044E-2</v>
      </c>
      <c r="X23" s="7">
        <f t="shared" si="66"/>
        <v>5.0000000000000044E-2</v>
      </c>
      <c r="Z23" s="1" t="s">
        <v>40</v>
      </c>
      <c r="AA23" s="6">
        <v>0.01</v>
      </c>
    </row>
    <row r="24" spans="1:170" x14ac:dyDescent="0.2">
      <c r="A24" s="1" t="s">
        <v>26</v>
      </c>
      <c r="C24" s="4">
        <f t="shared" ref="C24:M24" si="67">C4/B4-1</f>
        <v>3.5085227272727337E-2</v>
      </c>
      <c r="D24" s="4">
        <f t="shared" si="67"/>
        <v>1.7977219706326375E-2</v>
      </c>
      <c r="E24" s="4">
        <f t="shared" si="67"/>
        <v>8.1962793205715867E-2</v>
      </c>
      <c r="F24" s="4">
        <f t="shared" si="67"/>
        <v>-4.0742586593570884E-2</v>
      </c>
      <c r="G24" s="4">
        <f t="shared" si="67"/>
        <v>2.4158981685933334E-2</v>
      </c>
      <c r="H24" s="4">
        <f t="shared" si="67"/>
        <v>-4.8192771084337727E-3</v>
      </c>
      <c r="I24" s="4">
        <f t="shared" si="67"/>
        <v>6.6139926086402401E-2</v>
      </c>
      <c r="J24" s="4">
        <f t="shared" si="67"/>
        <v>-6.8730576141525224E-2</v>
      </c>
      <c r="K24" s="4">
        <f t="shared" si="67"/>
        <v>4.0000000000000036E-2</v>
      </c>
      <c r="L24" s="4">
        <f t="shared" si="67"/>
        <v>4.0000000000000036E-2</v>
      </c>
      <c r="M24" s="4">
        <f t="shared" si="67"/>
        <v>4.0000000000000036E-2</v>
      </c>
      <c r="Z24" s="1" t="s">
        <v>41</v>
      </c>
      <c r="AA24" s="6">
        <v>0.08</v>
      </c>
    </row>
    <row r="25" spans="1:170" x14ac:dyDescent="0.2">
      <c r="Z25" s="1" t="s">
        <v>39</v>
      </c>
      <c r="AA25" s="3">
        <f>NPV(AA24,T32:XFD32)+Main!P5-Main!P6</f>
        <v>92630.331591775132</v>
      </c>
    </row>
    <row r="26" spans="1:170" s="3" customFormat="1" x14ac:dyDescent="0.2">
      <c r="A26" s="3" t="s">
        <v>27</v>
      </c>
      <c r="B26" s="7">
        <f t="shared" ref="B26:M26" si="68">B9/B4</f>
        <v>0.40156249999999999</v>
      </c>
      <c r="C26" s="7">
        <f t="shared" si="68"/>
        <v>0.39193083573487031</v>
      </c>
      <c r="D26" s="7">
        <f t="shared" si="68"/>
        <v>0.39026691830682125</v>
      </c>
      <c r="E26" s="7">
        <f t="shared" si="68"/>
        <v>0.39957637677547969</v>
      </c>
      <c r="F26" s="7">
        <f t="shared" si="68"/>
        <v>0.39057020392258734</v>
      </c>
      <c r="G26" s="7">
        <f t="shared" si="68"/>
        <v>0.40228281547241596</v>
      </c>
      <c r="H26" s="7">
        <f t="shared" si="68"/>
        <v>0.41123996431757359</v>
      </c>
      <c r="I26" s="7">
        <f t="shared" si="68"/>
        <v>0.41644752569925891</v>
      </c>
      <c r="J26" s="7">
        <f t="shared" si="68"/>
        <v>0.41644752569925891</v>
      </c>
      <c r="K26" s="7">
        <f t="shared" si="68"/>
        <v>0.41644752569925886</v>
      </c>
      <c r="L26" s="7">
        <f t="shared" si="68"/>
        <v>0.41644752569925897</v>
      </c>
      <c r="M26" s="7">
        <f t="shared" si="68"/>
        <v>0.41644752569925897</v>
      </c>
      <c r="O26" s="7" t="e">
        <f t="shared" ref="O26:X26" si="69">O9/O4</f>
        <v>#DIV/0!</v>
      </c>
      <c r="P26" s="7" t="e">
        <f t="shared" si="69"/>
        <v>#DIV/0!</v>
      </c>
      <c r="Q26" s="7">
        <f t="shared" si="69"/>
        <v>0.42346827531070574</v>
      </c>
      <c r="R26" s="7">
        <f t="shared" si="69"/>
        <v>0.39585502670383932</v>
      </c>
      <c r="S26" s="7">
        <f t="shared" si="69"/>
        <v>0.40538415573796271</v>
      </c>
      <c r="T26" s="7">
        <f t="shared" si="69"/>
        <v>0.41644752569925897</v>
      </c>
      <c r="U26" s="7">
        <f t="shared" si="69"/>
        <v>0.41644752569925902</v>
      </c>
      <c r="V26" s="7">
        <f t="shared" si="69"/>
        <v>0.41644752569925897</v>
      </c>
      <c r="W26" s="7">
        <f t="shared" si="69"/>
        <v>0.41644752569925902</v>
      </c>
      <c r="X26" s="7">
        <f t="shared" si="69"/>
        <v>0.41644752569925891</v>
      </c>
      <c r="Z26" s="1" t="s">
        <v>0</v>
      </c>
      <c r="AA26" s="5">
        <f>AA25/Main!P3</f>
        <v>95.246466281118614</v>
      </c>
    </row>
    <row r="27" spans="1:170" x14ac:dyDescent="0.2">
      <c r="A27" s="1" t="s">
        <v>28</v>
      </c>
      <c r="B27" s="4">
        <f t="shared" ref="B27:M27" si="70">B15/B4</f>
        <v>0.14190340909090909</v>
      </c>
      <c r="C27" s="4">
        <f t="shared" si="70"/>
        <v>0.15548236585700562</v>
      </c>
      <c r="D27" s="4">
        <f t="shared" si="70"/>
        <v>0.15745483957940146</v>
      </c>
      <c r="E27" s="4">
        <f t="shared" si="70"/>
        <v>0.21530027410914529</v>
      </c>
      <c r="F27" s="4">
        <f t="shared" si="70"/>
        <v>0.15170801402779582</v>
      </c>
      <c r="G27" s="4">
        <f t="shared" si="70"/>
        <v>0.16804058338617628</v>
      </c>
      <c r="H27" s="4">
        <f t="shared" si="70"/>
        <v>0.17726519689053141</v>
      </c>
      <c r="I27" s="4">
        <f t="shared" si="70"/>
        <v>0.17224480038250059</v>
      </c>
      <c r="J27" s="4">
        <f t="shared" si="70"/>
        <v>0.17224480038250059</v>
      </c>
      <c r="K27" s="4">
        <f t="shared" si="70"/>
        <v>0.17224480038250056</v>
      </c>
      <c r="L27" s="4">
        <f t="shared" si="70"/>
        <v>0.1722448003825007</v>
      </c>
      <c r="M27" s="4">
        <f t="shared" si="70"/>
        <v>0.17224480038250065</v>
      </c>
      <c r="O27" s="4" t="e">
        <f t="shared" ref="O27:X27" si="71">O15/O4</f>
        <v>#DIV/0!</v>
      </c>
      <c r="P27" s="4" t="e">
        <f t="shared" si="71"/>
        <v>#DIV/0!</v>
      </c>
      <c r="Q27" s="4">
        <f t="shared" si="71"/>
        <v>0.13943600552365723</v>
      </c>
      <c r="R27" s="4">
        <f t="shared" si="71"/>
        <v>0.16888918746431092</v>
      </c>
      <c r="S27" s="4">
        <f t="shared" si="71"/>
        <v>0.16746862911595434</v>
      </c>
      <c r="T27" s="4">
        <f t="shared" si="71"/>
        <v>0.17224480038250065</v>
      </c>
      <c r="U27" s="4">
        <f t="shared" si="71"/>
        <v>0.17224480038250073</v>
      </c>
      <c r="V27" s="4">
        <f t="shared" si="71"/>
        <v>0.17224480038250067</v>
      </c>
      <c r="W27" s="4">
        <f t="shared" si="71"/>
        <v>0.17224480038250073</v>
      </c>
      <c r="X27" s="4">
        <f t="shared" si="71"/>
        <v>0.17224480038250053</v>
      </c>
      <c r="Z27" s="1" t="s">
        <v>42</v>
      </c>
      <c r="AA27" s="4">
        <f>AA26/Main!P2-1</f>
        <v>0.42158904897191962</v>
      </c>
    </row>
    <row r="28" spans="1:170" x14ac:dyDescent="0.2">
      <c r="A28" s="11" t="s">
        <v>55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O28" s="4"/>
      <c r="P28" s="4"/>
      <c r="Q28" s="4">
        <f>Q32/Q4</f>
        <v>9.0304527945344867E-2</v>
      </c>
      <c r="R28" s="4">
        <f t="shared" ref="R28:X28" si="72">R32/R4</f>
        <v>0.13741560579087031</v>
      </c>
      <c r="S28" s="4">
        <f t="shared" si="72"/>
        <v>0.18432556530490299</v>
      </c>
      <c r="T28" s="4">
        <f t="shared" si="72"/>
        <v>0.19646839877694969</v>
      </c>
      <c r="U28" s="4">
        <f t="shared" si="72"/>
        <v>0.1763782455891939</v>
      </c>
      <c r="V28" s="4">
        <f t="shared" si="72"/>
        <v>0.1763782455891939</v>
      </c>
      <c r="W28" s="4">
        <f t="shared" si="72"/>
        <v>0.1763782455891939</v>
      </c>
      <c r="X28" s="4">
        <f t="shared" si="72"/>
        <v>0.1763782455891939</v>
      </c>
      <c r="AA28" s="4"/>
    </row>
    <row r="29" spans="1:170" x14ac:dyDescent="0.2">
      <c r="C29" s="4"/>
      <c r="G29" s="4"/>
      <c r="S29" s="4"/>
      <c r="T29" s="4"/>
      <c r="AB29" s="4"/>
    </row>
    <row r="30" spans="1:170" x14ac:dyDescent="0.2">
      <c r="A30" s="1" t="s">
        <v>29</v>
      </c>
      <c r="Q30" s="1">
        <v>5813</v>
      </c>
      <c r="R30" s="1">
        <v>4843</v>
      </c>
      <c r="S30" s="1">
        <v>7450</v>
      </c>
      <c r="T30" s="1">
        <f>T32+T31</f>
        <v>7500</v>
      </c>
      <c r="U30" s="1">
        <f>T30*1.05</f>
        <v>7875</v>
      </c>
      <c r="V30" s="1">
        <f t="shared" ref="V30:X31" si="73">U30*1.05</f>
        <v>8268.75</v>
      </c>
      <c r="W30" s="1">
        <f t="shared" si="73"/>
        <v>8682.1875</v>
      </c>
      <c r="X30" s="1">
        <f t="shared" si="73"/>
        <v>9116.296875</v>
      </c>
      <c r="AB30" s="5"/>
    </row>
    <row r="31" spans="1:170" x14ac:dyDescent="0.2">
      <c r="A31" s="1" t="s">
        <v>30</v>
      </c>
      <c r="Q31" s="1">
        <v>-3328</v>
      </c>
      <c r="R31" s="1">
        <v>-752</v>
      </c>
      <c r="S31" s="1">
        <v>-1589</v>
      </c>
      <c r="T31" s="1">
        <v>1000</v>
      </c>
      <c r="U31" s="1">
        <f>S31*-1.1</f>
        <v>1747.9</v>
      </c>
      <c r="V31" s="1">
        <f t="shared" si="73"/>
        <v>1835.2950000000001</v>
      </c>
      <c r="W31" s="1">
        <f t="shared" si="73"/>
        <v>1927.0597500000001</v>
      </c>
      <c r="X31" s="1">
        <f t="shared" si="73"/>
        <v>2023.4127375000003</v>
      </c>
      <c r="AB31" s="5"/>
    </row>
    <row r="32" spans="1:170" s="3" customFormat="1" x14ac:dyDescent="0.2">
      <c r="A32" s="3" t="s">
        <v>31</v>
      </c>
      <c r="B32" s="3">
        <f>B30-B31</f>
        <v>0</v>
      </c>
      <c r="Q32" s="3">
        <f>Q30+Q31</f>
        <v>2485</v>
      </c>
      <c r="R32" s="3">
        <f t="shared" ref="R32:S32" si="74">R30+R31</f>
        <v>4091</v>
      </c>
      <c r="S32" s="3">
        <f t="shared" si="74"/>
        <v>5861</v>
      </c>
      <c r="T32" s="3">
        <v>6500</v>
      </c>
      <c r="U32" s="3">
        <f>U30-U31</f>
        <v>6127.1</v>
      </c>
      <c r="V32" s="3">
        <f t="shared" ref="V32:X32" si="75">V30-V31</f>
        <v>6433.4549999999999</v>
      </c>
      <c r="W32" s="3">
        <f t="shared" si="75"/>
        <v>6755.1277499999997</v>
      </c>
      <c r="X32" s="3">
        <f t="shared" si="75"/>
        <v>7092.8841374999993</v>
      </c>
      <c r="Y32" s="3">
        <f t="shared" ref="Y32:BD32" si="76">X32*(1+$AA$23)</f>
        <v>7163.8129788749993</v>
      </c>
      <c r="Z32" s="3">
        <f t="shared" si="76"/>
        <v>7235.4511086637494</v>
      </c>
      <c r="AA32" s="3">
        <f t="shared" si="76"/>
        <v>7307.8056197503875</v>
      </c>
      <c r="AB32" s="3">
        <f t="shared" si="76"/>
        <v>7380.8836759478918</v>
      </c>
      <c r="AC32" s="3">
        <f t="shared" si="76"/>
        <v>7454.692512707371</v>
      </c>
      <c r="AD32" s="3">
        <f t="shared" si="76"/>
        <v>7529.2394378344443</v>
      </c>
      <c r="AE32" s="3">
        <f t="shared" si="76"/>
        <v>7604.5318322127887</v>
      </c>
      <c r="AF32" s="3">
        <f t="shared" si="76"/>
        <v>7680.5771505349167</v>
      </c>
      <c r="AG32" s="3">
        <f t="shared" si="76"/>
        <v>7757.3829220402658</v>
      </c>
      <c r="AH32" s="3">
        <f t="shared" si="76"/>
        <v>7834.9567512606682</v>
      </c>
      <c r="AI32" s="3">
        <f t="shared" si="76"/>
        <v>7913.3063187732751</v>
      </c>
      <c r="AJ32" s="3">
        <f t="shared" si="76"/>
        <v>7992.4393819610077</v>
      </c>
      <c r="AK32" s="3">
        <f t="shared" si="76"/>
        <v>8072.3637757806182</v>
      </c>
      <c r="AL32" s="3">
        <f t="shared" si="76"/>
        <v>8153.0874135384247</v>
      </c>
      <c r="AM32" s="3">
        <f t="shared" si="76"/>
        <v>8234.6182876738094</v>
      </c>
      <c r="AN32" s="3">
        <f t="shared" si="76"/>
        <v>8316.964470550547</v>
      </c>
      <c r="AO32" s="3">
        <f t="shared" si="76"/>
        <v>8400.1341152560526</v>
      </c>
      <c r="AP32" s="3">
        <f t="shared" si="76"/>
        <v>8484.1354564086141</v>
      </c>
      <c r="AQ32" s="3">
        <f t="shared" si="76"/>
        <v>8568.9768109727011</v>
      </c>
      <c r="AR32" s="3">
        <f t="shared" si="76"/>
        <v>8654.6665790824281</v>
      </c>
      <c r="AS32" s="3">
        <f t="shared" si="76"/>
        <v>8741.2132448732518</v>
      </c>
      <c r="AT32" s="3">
        <f t="shared" si="76"/>
        <v>8828.6253773219851</v>
      </c>
      <c r="AU32" s="3">
        <f t="shared" si="76"/>
        <v>8916.9116310952049</v>
      </c>
      <c r="AV32" s="3">
        <f t="shared" si="76"/>
        <v>9006.0807474061567</v>
      </c>
      <c r="AW32" s="3">
        <f t="shared" si="76"/>
        <v>9096.1415548802179</v>
      </c>
      <c r="AX32" s="3">
        <f t="shared" si="76"/>
        <v>9187.1029704290195</v>
      </c>
      <c r="AY32" s="3">
        <f t="shared" si="76"/>
        <v>9278.9740001333103</v>
      </c>
      <c r="AZ32" s="3">
        <f t="shared" si="76"/>
        <v>9371.7637401346437</v>
      </c>
      <c r="BA32" s="3">
        <f t="shared" si="76"/>
        <v>9465.4813775359908</v>
      </c>
      <c r="BB32" s="3">
        <f t="shared" si="76"/>
        <v>9560.1361913113506</v>
      </c>
      <c r="BC32" s="3">
        <f t="shared" si="76"/>
        <v>9655.7375532244641</v>
      </c>
      <c r="BD32" s="3">
        <f t="shared" si="76"/>
        <v>9752.294928756708</v>
      </c>
      <c r="BE32" s="3">
        <f t="shared" ref="BE32:CJ32" si="77">BD32*(1+$AA$23)</f>
        <v>9849.8178780442759</v>
      </c>
      <c r="BF32" s="3">
        <f t="shared" si="77"/>
        <v>9948.3160568247185</v>
      </c>
      <c r="BG32" s="3">
        <f t="shared" si="77"/>
        <v>10047.799217392965</v>
      </c>
      <c r="BH32" s="3">
        <f t="shared" si="77"/>
        <v>10148.277209566895</v>
      </c>
      <c r="BI32" s="3">
        <f t="shared" si="77"/>
        <v>10249.759981662564</v>
      </c>
      <c r="BJ32" s="3">
        <f t="shared" si="77"/>
        <v>10352.257581479191</v>
      </c>
      <c r="BK32" s="3">
        <f t="shared" si="77"/>
        <v>10455.780157293982</v>
      </c>
      <c r="BL32" s="3">
        <f t="shared" si="77"/>
        <v>10560.337958866923</v>
      </c>
      <c r="BM32" s="3">
        <f t="shared" si="77"/>
        <v>10665.941338455592</v>
      </c>
      <c r="BN32" s="3">
        <f t="shared" si="77"/>
        <v>10772.600751840147</v>
      </c>
      <c r="BO32" s="3">
        <f t="shared" si="77"/>
        <v>10880.32675935855</v>
      </c>
      <c r="BP32" s="3">
        <f t="shared" si="77"/>
        <v>10989.130026952136</v>
      </c>
      <c r="BQ32" s="3">
        <f t="shared" si="77"/>
        <v>11099.021327221657</v>
      </c>
      <c r="BR32" s="3">
        <f t="shared" si="77"/>
        <v>11210.011540493873</v>
      </c>
      <c r="BS32" s="3">
        <f t="shared" si="77"/>
        <v>11322.111655898812</v>
      </c>
      <c r="BT32" s="3">
        <f t="shared" si="77"/>
        <v>11435.332772457801</v>
      </c>
      <c r="BU32" s="3">
        <f t="shared" si="77"/>
        <v>11549.68610018238</v>
      </c>
      <c r="BV32" s="3">
        <f t="shared" si="77"/>
        <v>11665.182961184204</v>
      </c>
      <c r="BW32" s="3">
        <f t="shared" si="77"/>
        <v>11781.834790796047</v>
      </c>
      <c r="BX32" s="3">
        <f t="shared" si="77"/>
        <v>11899.653138704007</v>
      </c>
      <c r="BY32" s="3">
        <f t="shared" si="77"/>
        <v>12018.649670091047</v>
      </c>
      <c r="BZ32" s="3">
        <f t="shared" si="77"/>
        <v>12138.836166791958</v>
      </c>
      <c r="CA32" s="3">
        <f t="shared" si="77"/>
        <v>12260.224528459878</v>
      </c>
      <c r="CB32" s="3">
        <f t="shared" si="77"/>
        <v>12382.826773744477</v>
      </c>
      <c r="CC32" s="3">
        <f t="shared" si="77"/>
        <v>12506.655041481921</v>
      </c>
      <c r="CD32" s="3">
        <f t="shared" si="77"/>
        <v>12631.721591896741</v>
      </c>
      <c r="CE32" s="3">
        <f t="shared" si="77"/>
        <v>12758.038807815708</v>
      </c>
      <c r="CF32" s="3">
        <f t="shared" si="77"/>
        <v>12885.619195893865</v>
      </c>
      <c r="CG32" s="3">
        <f t="shared" si="77"/>
        <v>13014.475387852804</v>
      </c>
      <c r="CH32" s="3">
        <f t="shared" si="77"/>
        <v>13144.620141731333</v>
      </c>
      <c r="CI32" s="3">
        <f t="shared" si="77"/>
        <v>13276.066343148646</v>
      </c>
      <c r="CJ32" s="3">
        <f t="shared" si="77"/>
        <v>13408.827006580133</v>
      </c>
      <c r="CK32" s="3">
        <f t="shared" ref="CK32:DP32" si="78">CJ32*(1+$AA$23)</f>
        <v>13542.915276645936</v>
      </c>
      <c r="CL32" s="3">
        <f t="shared" si="78"/>
        <v>13678.344429412395</v>
      </c>
      <c r="CM32" s="3">
        <f t="shared" si="78"/>
        <v>13815.127873706519</v>
      </c>
      <c r="CN32" s="3">
        <f t="shared" si="78"/>
        <v>13953.279152443583</v>
      </c>
      <c r="CO32" s="3">
        <f t="shared" si="78"/>
        <v>14092.811943968019</v>
      </c>
      <c r="CP32" s="3">
        <f t="shared" si="78"/>
        <v>14233.7400634077</v>
      </c>
      <c r="CQ32" s="3">
        <f t="shared" si="78"/>
        <v>14376.077464041777</v>
      </c>
      <c r="CR32" s="3">
        <f t="shared" si="78"/>
        <v>14519.838238682194</v>
      </c>
      <c r="CS32" s="3">
        <f t="shared" si="78"/>
        <v>14665.036621069015</v>
      </c>
      <c r="CT32" s="3">
        <f t="shared" si="78"/>
        <v>14811.686987279705</v>
      </c>
      <c r="CU32" s="3">
        <f t="shared" si="78"/>
        <v>14959.803857152503</v>
      </c>
      <c r="CV32" s="3">
        <f t="shared" si="78"/>
        <v>15109.401895724028</v>
      </c>
      <c r="CW32" s="3">
        <f t="shared" si="78"/>
        <v>15260.495914681269</v>
      </c>
      <c r="CX32" s="3">
        <f t="shared" si="78"/>
        <v>15413.100873828082</v>
      </c>
      <c r="CY32" s="3">
        <f t="shared" si="78"/>
        <v>15567.231882566362</v>
      </c>
      <c r="CZ32" s="3">
        <f t="shared" si="78"/>
        <v>15722.904201392026</v>
      </c>
      <c r="DA32" s="3">
        <f t="shared" si="78"/>
        <v>15880.133243405946</v>
      </c>
      <c r="DB32" s="3">
        <f t="shared" si="78"/>
        <v>16038.934575840005</v>
      </c>
      <c r="DC32" s="3">
        <f t="shared" si="78"/>
        <v>16199.323921598405</v>
      </c>
      <c r="DD32" s="3">
        <f t="shared" si="78"/>
        <v>16361.317160814389</v>
      </c>
      <c r="DE32" s="3">
        <f t="shared" si="78"/>
        <v>16524.930332422533</v>
      </c>
      <c r="DF32" s="3">
        <f t="shared" si="78"/>
        <v>16690.179635746757</v>
      </c>
      <c r="DG32" s="3">
        <f t="shared" si="78"/>
        <v>16857.081432104223</v>
      </c>
      <c r="DH32" s="3">
        <f t="shared" si="78"/>
        <v>17025.652246425267</v>
      </c>
      <c r="DI32" s="3">
        <f t="shared" si="78"/>
        <v>17195.90876888952</v>
      </c>
      <c r="DJ32" s="3">
        <f t="shared" si="78"/>
        <v>17367.867856578414</v>
      </c>
      <c r="DK32" s="3">
        <f t="shared" si="78"/>
        <v>17541.5465351442</v>
      </c>
      <c r="DL32" s="3">
        <f t="shared" si="78"/>
        <v>17716.962000495641</v>
      </c>
      <c r="DM32" s="3">
        <f t="shared" si="78"/>
        <v>17894.131620500597</v>
      </c>
      <c r="DN32" s="3">
        <f t="shared" si="78"/>
        <v>18073.072936705605</v>
      </c>
      <c r="DO32" s="3">
        <f t="shared" si="78"/>
        <v>18253.803666072661</v>
      </c>
      <c r="DP32" s="3">
        <f t="shared" si="78"/>
        <v>18436.341702733389</v>
      </c>
      <c r="DQ32" s="3">
        <f t="shared" ref="DQ32:EV32" si="79">DP32*(1+$AA$23)</f>
        <v>18620.705119760722</v>
      </c>
      <c r="DR32" s="3">
        <f t="shared" si="79"/>
        <v>18806.912170958331</v>
      </c>
      <c r="DS32" s="3">
        <f t="shared" si="79"/>
        <v>18994.981292667915</v>
      </c>
      <c r="DT32" s="3">
        <f t="shared" si="79"/>
        <v>19184.931105594595</v>
      </c>
      <c r="DU32" s="3">
        <f t="shared" si="79"/>
        <v>19376.780416650541</v>
      </c>
      <c r="DV32" s="3">
        <f t="shared" si="79"/>
        <v>19570.548220817047</v>
      </c>
      <c r="DW32" s="3">
        <f t="shared" si="79"/>
        <v>19766.253703025217</v>
      </c>
      <c r="DX32" s="3">
        <f t="shared" si="79"/>
        <v>19963.916240055471</v>
      </c>
      <c r="DY32" s="3">
        <f t="shared" si="79"/>
        <v>20163.555402456026</v>
      </c>
      <c r="DZ32" s="3">
        <f t="shared" si="79"/>
        <v>20365.190956480586</v>
      </c>
      <c r="EA32" s="3">
        <f t="shared" si="79"/>
        <v>20568.842866045394</v>
      </c>
      <c r="EB32" s="3">
        <f t="shared" si="79"/>
        <v>20774.531294705848</v>
      </c>
      <c r="EC32" s="3">
        <f t="shared" si="79"/>
        <v>20982.276607652908</v>
      </c>
      <c r="ED32" s="3">
        <f t="shared" si="79"/>
        <v>21192.099373729438</v>
      </c>
      <c r="EE32" s="3">
        <f t="shared" si="79"/>
        <v>21404.020367466732</v>
      </c>
      <c r="EF32" s="3">
        <f t="shared" si="79"/>
        <v>21618.060571141399</v>
      </c>
      <c r="EG32" s="3">
        <f t="shared" si="79"/>
        <v>21834.241176852815</v>
      </c>
      <c r="EH32" s="3">
        <f t="shared" si="79"/>
        <v>22052.583588621343</v>
      </c>
      <c r="EI32" s="3">
        <f t="shared" si="79"/>
        <v>22273.109424507555</v>
      </c>
      <c r="EJ32" s="3">
        <f t="shared" si="79"/>
        <v>22495.84051875263</v>
      </c>
      <c r="EK32" s="3">
        <f t="shared" si="79"/>
        <v>22720.798923940158</v>
      </c>
      <c r="EL32" s="3">
        <f t="shared" si="79"/>
        <v>22948.006913179561</v>
      </c>
      <c r="EM32" s="3">
        <f t="shared" si="79"/>
        <v>23177.486982311355</v>
      </c>
      <c r="EN32" s="3">
        <f t="shared" si="79"/>
        <v>23409.26185213447</v>
      </c>
      <c r="EO32" s="3">
        <f t="shared" si="79"/>
        <v>23643.354470655817</v>
      </c>
      <c r="EP32" s="3">
        <f t="shared" si="79"/>
        <v>23879.788015362374</v>
      </c>
      <c r="EQ32" s="3">
        <f t="shared" si="79"/>
        <v>24118.585895515997</v>
      </c>
      <c r="ER32" s="3">
        <f t="shared" si="79"/>
        <v>24359.771754471156</v>
      </c>
      <c r="ES32" s="3">
        <f t="shared" si="79"/>
        <v>24603.369472015867</v>
      </c>
      <c r="ET32" s="3">
        <f t="shared" si="79"/>
        <v>24849.403166736025</v>
      </c>
      <c r="EU32" s="3">
        <f t="shared" si="79"/>
        <v>25097.897198403385</v>
      </c>
      <c r="EV32" s="3">
        <f t="shared" si="79"/>
        <v>25348.876170387419</v>
      </c>
      <c r="EW32" s="3">
        <f t="shared" ref="EW32:FK32" si="80">EV32*(1+$AA$23)</f>
        <v>25602.364932091292</v>
      </c>
      <c r="EX32" s="3">
        <f t="shared" si="80"/>
        <v>25858.388581412204</v>
      </c>
      <c r="EY32" s="3">
        <f t="shared" si="80"/>
        <v>26116.972467226326</v>
      </c>
      <c r="EZ32" s="3">
        <f t="shared" si="80"/>
        <v>26378.142191898591</v>
      </c>
      <c r="FA32" s="3">
        <f t="shared" si="80"/>
        <v>26641.923613817577</v>
      </c>
      <c r="FB32" s="3">
        <f t="shared" si="80"/>
        <v>26908.342849955752</v>
      </c>
      <c r="FC32" s="3">
        <f t="shared" si="80"/>
        <v>27177.42627845531</v>
      </c>
      <c r="FD32" s="3">
        <f t="shared" si="80"/>
        <v>27449.200541239865</v>
      </c>
      <c r="FE32" s="3">
        <f t="shared" si="80"/>
        <v>27723.692546652263</v>
      </c>
      <c r="FF32" s="3">
        <f t="shared" si="80"/>
        <v>28000.929472118787</v>
      </c>
      <c r="FG32" s="3">
        <f t="shared" si="80"/>
        <v>28280.938766839976</v>
      </c>
      <c r="FH32" s="3">
        <f t="shared" si="80"/>
        <v>28563.748154508376</v>
      </c>
      <c r="FI32" s="3">
        <f t="shared" si="80"/>
        <v>28849.385636053459</v>
      </c>
      <c r="FJ32" s="3">
        <f t="shared" si="80"/>
        <v>29137.879492413995</v>
      </c>
      <c r="FK32" s="3">
        <f t="shared" si="80"/>
        <v>29429.258287338136</v>
      </c>
    </row>
    <row r="33" spans="1:26" x14ac:dyDescent="0.2">
      <c r="Q33" s="4"/>
      <c r="R33" s="5"/>
      <c r="S33" s="5"/>
      <c r="T33" s="4"/>
      <c r="U33" s="4"/>
      <c r="V33" s="4"/>
      <c r="W33" s="4"/>
      <c r="X33" s="4"/>
      <c r="Z33" s="8"/>
    </row>
    <row r="34" spans="1:26" x14ac:dyDescent="0.2">
      <c r="A34" s="1" t="s">
        <v>36</v>
      </c>
      <c r="I34" s="1">
        <f>I38-I45</f>
        <v>944</v>
      </c>
      <c r="J34" s="1">
        <f>I34+J19</f>
        <v>2021.3433918240496</v>
      </c>
      <c r="K34" s="1">
        <f>J34+K19</f>
        <v>3261.3433918240498</v>
      </c>
      <c r="L34" s="1">
        <f>K34+L19</f>
        <v>4435.5592563882383</v>
      </c>
      <c r="M34" s="1">
        <f>L34+M19</f>
        <v>5660.9188040505596</v>
      </c>
      <c r="S34" s="1">
        <f>S38-S45</f>
        <v>944</v>
      </c>
      <c r="T34" s="1">
        <f>M34</f>
        <v>5660.9188040505596</v>
      </c>
      <c r="U34" s="1">
        <f>T34+U19</f>
        <v>10538.302049917831</v>
      </c>
      <c r="V34" s="1">
        <f>U34+V19</f>
        <v>15733.063854969099</v>
      </c>
      <c r="W34" s="1">
        <f>V34+W19</f>
        <v>21262.249297513819</v>
      </c>
      <c r="X34" s="1">
        <f>W34+X19</f>
        <v>27143.774528182508</v>
      </c>
    </row>
    <row r="35" spans="1:26" x14ac:dyDescent="0.2">
      <c r="Q35" s="4"/>
      <c r="R35" s="4"/>
      <c r="S35" s="4"/>
      <c r="T35" s="4"/>
      <c r="U35" s="4"/>
      <c r="V35" s="4"/>
      <c r="W35" s="4"/>
      <c r="X35" s="4"/>
    </row>
    <row r="36" spans="1:26" x14ac:dyDescent="0.2">
      <c r="A36" s="1" t="s">
        <v>34</v>
      </c>
      <c r="Q36" s="1">
        <f>Q19</f>
        <v>2419</v>
      </c>
      <c r="R36" s="1">
        <f>R19</f>
        <v>4246</v>
      </c>
      <c r="S36" s="1">
        <f>S19</f>
        <v>4147</v>
      </c>
      <c r="W36" s="3"/>
      <c r="X36" s="3"/>
      <c r="Y36" s="3"/>
      <c r="Z36" s="3"/>
    </row>
    <row r="37" spans="1:26" x14ac:dyDescent="0.2">
      <c r="A37" s="1" t="s">
        <v>35</v>
      </c>
      <c r="Q37" s="1">
        <v>2419</v>
      </c>
      <c r="R37" s="1">
        <v>4246</v>
      </c>
      <c r="S37" s="1">
        <v>4147</v>
      </c>
    </row>
    <row r="38" spans="1:26" x14ac:dyDescent="0.2">
      <c r="A38" s="1" t="s">
        <v>3</v>
      </c>
      <c r="I38" s="1">
        <f>6561+4262</f>
        <v>10823</v>
      </c>
      <c r="S38" s="1">
        <f>6561+4262</f>
        <v>10823</v>
      </c>
    </row>
    <row r="39" spans="1:26" x14ac:dyDescent="0.2">
      <c r="A39" s="1" t="s">
        <v>38</v>
      </c>
    </row>
    <row r="40" spans="1:26" x14ac:dyDescent="0.2">
      <c r="A40" s="1" t="s">
        <v>44</v>
      </c>
      <c r="Q40" s="1">
        <v>-20219</v>
      </c>
      <c r="R40" s="1">
        <v>-21980</v>
      </c>
      <c r="S40" s="1">
        <v>-26209</v>
      </c>
    </row>
    <row r="41" spans="1:26" x14ac:dyDescent="0.2">
      <c r="A41" s="1" t="s">
        <v>45</v>
      </c>
      <c r="Q41" s="1">
        <v>23411</v>
      </c>
      <c r="R41" s="1">
        <v>24295</v>
      </c>
      <c r="S41" s="1">
        <v>26962</v>
      </c>
    </row>
    <row r="42" spans="1:26" x14ac:dyDescent="0.2">
      <c r="A42" s="1" t="s">
        <v>43</v>
      </c>
      <c r="Q42" s="4">
        <f>Q41/Q40*-1-1</f>
        <v>0.15787130916464709</v>
      </c>
      <c r="R42" s="4">
        <f t="shared" ref="R42:S42" si="81">R41/R40*-1-1</f>
        <v>0.10532302092811641</v>
      </c>
      <c r="S42" s="4">
        <f t="shared" si="81"/>
        <v>2.8730588729062534E-2</v>
      </c>
    </row>
    <row r="43" spans="1:26" x14ac:dyDescent="0.2">
      <c r="Q43" s="4"/>
      <c r="R43" s="4"/>
      <c r="S43" s="4"/>
      <c r="T43" s="4"/>
    </row>
    <row r="44" spans="1:26" x14ac:dyDescent="0.2">
      <c r="A44" s="1" t="s">
        <v>37</v>
      </c>
      <c r="W44" s="3"/>
      <c r="X44" s="3"/>
      <c r="Y44" s="3"/>
      <c r="Z44" s="3"/>
    </row>
    <row r="45" spans="1:26" x14ac:dyDescent="0.2">
      <c r="A45" s="1" t="s">
        <v>4</v>
      </c>
      <c r="I45" s="1">
        <f>9879</f>
        <v>9879</v>
      </c>
      <c r="S45" s="1">
        <f>9879</f>
        <v>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2025-04-07T03:20:45Z</dcterms:created>
  <dcterms:modified xsi:type="dcterms:W3CDTF">2025-08-01T23:13:16Z</dcterms:modified>
</cp:coreProperties>
</file>