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25975E3-DAF0-4F54-A8AA-C6E28291EDAE}" xr6:coauthVersionLast="47" xr6:coauthVersionMax="47" xr10:uidLastSave="{00000000-0000-0000-0000-000000000000}"/>
  <bookViews>
    <workbookView xWindow="-105" yWindow="0" windowWidth="14610" windowHeight="15585" activeTab="4" xr2:uid="{DC529969-0FFC-4849-AB27-3C9B9981265E}"/>
  </bookViews>
  <sheets>
    <sheet name="Main" sheetId="1" r:id="rId1"/>
    <sheet name="Model" sheetId="2" r:id="rId2"/>
    <sheet name="IP" sheetId="5" r:id="rId3"/>
    <sheet name="Literature" sheetId="4" r:id="rId4"/>
    <sheet name="elevidy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3" i="3"/>
  <c r="C24" i="3"/>
  <c r="C26" i="3" s="1"/>
  <c r="D23" i="3"/>
  <c r="D24" i="3" s="1"/>
  <c r="D26" i="3" s="1"/>
  <c r="E23" i="3" l="1"/>
  <c r="D22" i="3"/>
  <c r="E22" i="3" s="1"/>
  <c r="F22" i="3" s="1"/>
  <c r="G22" i="3" s="1"/>
  <c r="H22" i="3" s="1"/>
  <c r="I22" i="3" s="1"/>
  <c r="J22" i="3" s="1"/>
  <c r="K22" i="3" s="1"/>
  <c r="L22" i="3" s="1"/>
  <c r="Q19" i="2"/>
  <c r="R19" i="2"/>
  <c r="S19" i="2"/>
  <c r="T19" i="2"/>
  <c r="U19" i="2"/>
  <c r="Q17" i="2"/>
  <c r="R17" i="2"/>
  <c r="S17" i="2"/>
  <c r="T17" i="2"/>
  <c r="U17" i="2"/>
  <c r="R7" i="2"/>
  <c r="S7" i="2"/>
  <c r="T7" i="2" s="1"/>
  <c r="U7" i="2" s="1"/>
  <c r="Q7" i="2"/>
  <c r="R3" i="2"/>
  <c r="S3" i="2"/>
  <c r="T3" i="2" s="1"/>
  <c r="U3" i="2" s="1"/>
  <c r="Q3" i="2"/>
  <c r="Q10" i="2"/>
  <c r="P21" i="2"/>
  <c r="P40" i="2"/>
  <c r="P34" i="2"/>
  <c r="P35" i="2"/>
  <c r="P30" i="2"/>
  <c r="P41" i="2" s="1"/>
  <c r="P42" i="2" s="1"/>
  <c r="P29" i="2"/>
  <c r="P26" i="2"/>
  <c r="P22" i="2"/>
  <c r="Q4" i="2"/>
  <c r="Q14" i="2"/>
  <c r="R14" i="2" s="1"/>
  <c r="S14" i="2" s="1"/>
  <c r="T14" i="2" s="1"/>
  <c r="U14" i="2" s="1"/>
  <c r="Q8" i="2"/>
  <c r="P19" i="2"/>
  <c r="O19" i="2"/>
  <c r="D18" i="2"/>
  <c r="E18" i="2"/>
  <c r="F18" i="2"/>
  <c r="G18" i="2"/>
  <c r="H18" i="2"/>
  <c r="I18" i="2"/>
  <c r="J18" i="2"/>
  <c r="C18" i="2"/>
  <c r="P17" i="2"/>
  <c r="O17" i="2"/>
  <c r="M8" i="2"/>
  <c r="N8" i="2"/>
  <c r="O8" i="2"/>
  <c r="P8" i="2"/>
  <c r="L8" i="2"/>
  <c r="M5" i="2"/>
  <c r="L5" i="2"/>
  <c r="O5" i="2"/>
  <c r="O18" i="2" s="1"/>
  <c r="P5" i="2"/>
  <c r="P18" i="2" s="1"/>
  <c r="N5" i="2"/>
  <c r="M2" i="2"/>
  <c r="N2" i="2" s="1"/>
  <c r="O2" i="2" s="1"/>
  <c r="P2" i="2" s="1"/>
  <c r="Q2" i="2" s="1"/>
  <c r="R2" i="2" s="1"/>
  <c r="S2" i="2" s="1"/>
  <c r="T2" i="2" s="1"/>
  <c r="U2" i="2" s="1"/>
  <c r="K6" i="1"/>
  <c r="K5" i="1"/>
  <c r="X18" i="2" s="1"/>
  <c r="K3" i="1"/>
  <c r="K4" i="1"/>
  <c r="K7" i="1" l="1"/>
  <c r="F23" i="3"/>
  <c r="E24" i="3"/>
  <c r="E26" i="3" s="1"/>
  <c r="M9" i="2"/>
  <c r="M11" i="2" s="1"/>
  <c r="M13" i="2" s="1"/>
  <c r="M15" i="2" s="1"/>
  <c r="L9" i="2"/>
  <c r="L11" i="2" s="1"/>
  <c r="L13" i="2" s="1"/>
  <c r="L15" i="2" s="1"/>
  <c r="P9" i="2"/>
  <c r="P11" i="2" s="1"/>
  <c r="P13" i="2" s="1"/>
  <c r="P15" i="2" s="1"/>
  <c r="Q5" i="2"/>
  <c r="N9" i="2"/>
  <c r="N11" i="2" s="1"/>
  <c r="N13" i="2" s="1"/>
  <c r="N15" i="2" s="1"/>
  <c r="S4" i="2"/>
  <c r="S5" i="2" s="1"/>
  <c r="R4" i="2"/>
  <c r="R5" i="2" s="1"/>
  <c r="Q9" i="2"/>
  <c r="Q11" i="2" s="1"/>
  <c r="T4" i="2"/>
  <c r="M18" i="2"/>
  <c r="L18" i="2"/>
  <c r="N18" i="2"/>
  <c r="O9" i="2"/>
  <c r="O11" i="2" s="1"/>
  <c r="O13" i="2" s="1"/>
  <c r="O15" i="2" s="1"/>
  <c r="G23" i="3" l="1"/>
  <c r="F24" i="3"/>
  <c r="F26" i="3" s="1"/>
  <c r="R8" i="2"/>
  <c r="R9" i="2" s="1"/>
  <c r="Q12" i="2"/>
  <c r="Q13" i="2" s="1"/>
  <c r="Q21" i="2" s="1"/>
  <c r="T5" i="2"/>
  <c r="H23" i="3" l="1"/>
  <c r="G24" i="3"/>
  <c r="G26" i="3" s="1"/>
  <c r="R10" i="2"/>
  <c r="R11" i="2"/>
  <c r="R12" i="2" s="1"/>
  <c r="R13" i="2" s="1"/>
  <c r="R15" i="2" s="1"/>
  <c r="S8" i="2"/>
  <c r="S9" i="2" s="1"/>
  <c r="U4" i="2"/>
  <c r="U5" i="2" s="1"/>
  <c r="Q15" i="2"/>
  <c r="I23" i="3" l="1"/>
  <c r="H24" i="3"/>
  <c r="H26" i="3" s="1"/>
  <c r="R21" i="2"/>
  <c r="S10" i="2" s="1"/>
  <c r="S11" i="2" s="1"/>
  <c r="S12" i="2" s="1"/>
  <c r="S13" i="2" s="1"/>
  <c r="T8" i="2"/>
  <c r="T9" i="2" s="1"/>
  <c r="U8" i="2"/>
  <c r="U9" i="2" s="1"/>
  <c r="J23" i="3" l="1"/>
  <c r="I24" i="3"/>
  <c r="I26" i="3" s="1"/>
  <c r="S15" i="2"/>
  <c r="S21" i="2"/>
  <c r="T10" i="2"/>
  <c r="T11" i="2" s="1"/>
  <c r="T12" i="2" s="1"/>
  <c r="T13" i="2" s="1"/>
  <c r="K23" i="3" l="1"/>
  <c r="J24" i="3"/>
  <c r="J26" i="3" s="1"/>
  <c r="T15" i="2"/>
  <c r="T21" i="2"/>
  <c r="L23" i="3" l="1"/>
  <c r="K24" i="3"/>
  <c r="K26" i="3" s="1"/>
  <c r="U10" i="2"/>
  <c r="U11" i="2" s="1"/>
  <c r="U12" i="2" s="1"/>
  <c r="U13" i="2" s="1"/>
  <c r="L24" i="3" l="1"/>
  <c r="L26" i="3" s="1"/>
  <c r="U15" i="2"/>
  <c r="V13" i="2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U21" i="2"/>
  <c r="X19" i="2" l="1"/>
  <c r="X20" i="2" s="1"/>
</calcChain>
</file>

<file path=xl/sharedStrings.xml><?xml version="1.0" encoding="utf-8"?>
<sst xmlns="http://schemas.openxmlformats.org/spreadsheetml/2006/main" count="116" uniqueCount="96">
  <si>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</si>
  <si>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</si>
  <si>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</si>
  <si>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</si>
  <si>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</si>
  <si>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</si>
  <si>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</si>
  <si>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</si>
  <si>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</si>
  <si>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Phase</t>
  </si>
  <si>
    <t>MOA</t>
  </si>
  <si>
    <t>Economics</t>
  </si>
  <si>
    <t>IP</t>
  </si>
  <si>
    <t>Main</t>
  </si>
  <si>
    <t>Gene Therapy</t>
  </si>
  <si>
    <t>Exondys (eteplirsen)</t>
  </si>
  <si>
    <t>Vyondys (golodirsen)</t>
  </si>
  <si>
    <t>Amondys (casimersen)</t>
  </si>
  <si>
    <t>Elevidys (delandistrogen moxeparvovec-rokl)</t>
  </si>
  <si>
    <t>SRP-9003 (biridistrogene xeboparvovec)</t>
  </si>
  <si>
    <t>SRP-9004 (patidistrogene bexoparvovec)</t>
  </si>
  <si>
    <t>SRP-1004 (ARO-ATXN2)</t>
  </si>
  <si>
    <t>SRP-1003 (ARO-DM1)</t>
  </si>
  <si>
    <t xml:space="preserve">SRP-6004 </t>
  </si>
  <si>
    <t>SRP-1001 (ARO-DUX4)</t>
  </si>
  <si>
    <t>SRP-1002 (ARO-MMP7)</t>
  </si>
  <si>
    <t>FDA voluntarily asked SRPT to halt Elevidys shipments; SRPT refused</t>
  </si>
  <si>
    <t>Q125</t>
  </si>
  <si>
    <t>Revenue</t>
  </si>
  <si>
    <t>Q124</t>
  </si>
  <si>
    <t>Q224</t>
  </si>
  <si>
    <t>Q324</t>
  </si>
  <si>
    <t>Q424</t>
  </si>
  <si>
    <t>FDA remove request to halt</t>
  </si>
  <si>
    <t>Q225</t>
  </si>
  <si>
    <t>Q325</t>
  </si>
  <si>
    <t>Q425</t>
  </si>
  <si>
    <t>COGS</t>
  </si>
  <si>
    <t>Gross Profit</t>
  </si>
  <si>
    <t>SG&amp;A</t>
  </si>
  <si>
    <t>Operating Income</t>
  </si>
  <si>
    <t>R&amp;D</t>
  </si>
  <si>
    <t>Operating Expenses</t>
  </si>
  <si>
    <t>Interest Income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</si>
  <si>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</si>
  <si>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</si>
  <si>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</si>
  <si>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</si>
  <si>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</si>
  <si>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</si>
  <si>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</si>
  <si>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</si>
  <si>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SG&amp;A y/y</t>
  </si>
  <si>
    <t>ROIC</t>
  </si>
  <si>
    <t>Maturity</t>
  </si>
  <si>
    <t>Discount</t>
  </si>
  <si>
    <t>NPV</t>
  </si>
  <si>
    <t>Share</t>
  </si>
  <si>
    <t>Inventories</t>
  </si>
  <si>
    <t>Prepaids &amp; Deposits</t>
  </si>
  <si>
    <t>OCA</t>
  </si>
  <si>
    <t>PP&amp;E</t>
  </si>
  <si>
    <t>ROU</t>
  </si>
  <si>
    <t>ONCA</t>
  </si>
  <si>
    <t>Accrued Expenses</t>
  </si>
  <si>
    <t>Deferred Revenue</t>
  </si>
  <si>
    <t>OCL</t>
  </si>
  <si>
    <t>Lease Liablities</t>
  </si>
  <si>
    <t>Contingent</t>
  </si>
  <si>
    <t>ONCL</t>
  </si>
  <si>
    <t>Liablities</t>
  </si>
  <si>
    <t>Assets</t>
  </si>
  <si>
    <t>SE</t>
  </si>
  <si>
    <t>L+SE</t>
  </si>
  <si>
    <t>DMD</t>
  </si>
  <si>
    <t>Brand</t>
  </si>
  <si>
    <t>Generic</t>
  </si>
  <si>
    <t>Clinical Trials</t>
  </si>
  <si>
    <t>Competition</t>
  </si>
  <si>
    <t>Regulatory</t>
  </si>
  <si>
    <t>Phase III "EXPEDITION" in DMD n=400 NCT:NCT05967351</t>
  </si>
  <si>
    <t>Phase III "ENVISION" in DMD n=148 NCT:NCT05881408</t>
  </si>
  <si>
    <t>US Patient Pool</t>
  </si>
  <si>
    <t>Treated</t>
  </si>
  <si>
    <t>Ambulatory vs Non-Ambulatory</t>
  </si>
  <si>
    <t>Elevidys, SRP-9001</t>
  </si>
  <si>
    <t>delandistrogen moxeparvovec-rokl</t>
  </si>
  <si>
    <t>Read</t>
  </si>
  <si>
    <t>Relevance</t>
  </si>
  <si>
    <t>Topic</t>
  </si>
  <si>
    <t>Title</t>
  </si>
  <si>
    <t>search terms="</t>
  </si>
  <si>
    <t>Patent</t>
  </si>
  <si>
    <t>Notes</t>
  </si>
  <si>
    <t>Phase I/IIa "" in DMD n= NCT:NCT03375164</t>
  </si>
  <si>
    <t>Phase I/II "" in DMD n= NCT:NCT03769116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</si>
</sst>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1" fillId="0" borderId="1" xfId="1" applyFill="1" applyBorder="1"/>
    <xf numFmtId="4" fontId="0" fillId="0" borderId="0" xfId="0" applyNumberFormat="1"/>
    <xf numFmtId="3" fontId="0" fillId="0" borderId="0" xfId="0" applyNumberFormat="1"/>
    <xf numFmtId="3" fontId="1" fillId="0" borderId="0" xfId="1" applyNumberFormat="1"/>
    <xf numFmtId="1" fontId="0" fillId="0" borderId="0" xfId="0" applyNumberFormat="1"/>
    <xf numFmtId="3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3" fontId="0" fillId="0" borderId="0" xfId="0" applyNumberFormat="1" applyFont="1"/>
    <xf numFmtId="0" fontId="1" fillId="0" borderId="0" xfId="1"/>
    <xf numFmtId="0" fontId="3" fillId="0" borderId="0" xfId="0" applyFont="1"/>
    <xf numFmtId="3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586154</xdr:colOff>
      <xdr:row>0</xdr:row>
      <xdr:rowOff>109904</xdr:rowOff>
    </xdr:from>
    <xdr:to>
      <xdr:col>16</xdr:col>
      <xdr:colOff>0</xdr:colOff>
      <xdr:row>70</xdr:row>
      <xdr:rowOff>124557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A53ADB-796F-8B29-445E-F2F7A044180B}"/>
            </a:ext>
          </a:extLst>
        </xdr:cNvPr>
        <xdr:cNvCxnSpPr/>
      </xdr:nvCxnSpPr>
      <xdr:spPr>
        <a:xfrm>
          <a:off x="10074519" y="109904"/>
          <a:ext cx="21981" cy="112981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608134</xdr:colOff>
      <xdr:row>0</xdr:row>
      <xdr:rowOff>21981</xdr:rowOff>
    </xdr:from>
    <xdr:to>
      <xdr:col>6</xdr:col>
      <xdr:colOff>608134</xdr:colOff>
      <xdr:row>66</xdr:row>
      <xdr:rowOff>36635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4DECB-2ECA-4006-AB00-FBB8E65925DB}"/>
            </a:ext>
          </a:extLst>
        </xdr:cNvPr>
        <xdr:cNvCxnSpPr/>
      </xdr:nvCxnSpPr>
      <xdr:spPr>
        <a:xfrm>
          <a:off x="4623288" y="21981"/>
          <a:ext cx="0" cy="1065334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CA3D-BD6D-4E02-8579-6A8963C974F1}">
  <dimension ref="B2:L17"/>
  <sheetViews>
    <sheetView zoomScaleNormal="100" workbookViewId="0">
      <selection activeCell="B2" sqref="B2"/>
    </sheetView>
  </sheetViews>
  <sheetFormatPr defaultRowHeight="12.75" x14ac:dyDescent="0.2"/>
  <cols>
    <col min="1" max="1" width="3.5703125" customWidth="1"/>
    <col min="2" max="2" width="38.28515625" bestFit="1" customWidth="1"/>
    <col min="3" max="3" width="14" customWidth="1"/>
    <col min="4" max="4" width="11" customWidth="1"/>
    <col min="5" max="5" width="12.5703125" bestFit="1" customWidth="1"/>
    <col min="6" max="6" width="11" customWidth="1"/>
    <col min="7" max="7" width="10" customWidth="1"/>
    <col min="8" max="8" width="5.140625" customWidth="1"/>
    <col min="9" max="9" width="4.85546875" customWidth="1"/>
  </cols>
  <sheetData>
    <row r="2" spans="2:12" x14ac:dyDescent="0.2">
      <c r="B2" s="7" t="s">
        <v>6</v>
      </c>
      <c r="C2" s="8" t="s">
        <v>7</v>
      </c>
      <c r="D2" s="8" t="s">
        <v>8</v>
      </c>
      <c r="E2" s="8" t="s">
        <v>10</v>
      </c>
      <c r="F2" s="8" t="s">
        <v>11</v>
      </c>
      <c r="G2" s="9" t="s">
        <v>12</v>
      </c>
      <c r="J2" t="s">
        <v>0</v>
      </c>
      <c r="K2" s="20">
        <v>16</v>
      </c>
    </row>
    <row r="3" spans="2:12" x14ac:dyDescent="0.2">
      <c r="B3" s="19" t="s">
        <v>18</v>
      </c>
      <c r="C3" s="2" t="s">
        <v>74</v>
      </c>
      <c r="D3" s="2"/>
      <c r="E3" s="2" t="s">
        <v>14</v>
      </c>
      <c r="F3" s="2"/>
      <c r="G3" s="3"/>
      <c r="J3" t="s">
        <v>1</v>
      </c>
      <c r="K3" s="21">
        <f>98.277</f>
        <v>98.277000000000001</v>
      </c>
      <c r="L3" t="s">
        <v>27</v>
      </c>
    </row>
    <row r="4" spans="2:12" x14ac:dyDescent="0.2">
      <c r="B4" s="1" t="s">
        <v>15</v>
      </c>
      <c r="C4" s="2"/>
      <c r="D4" s="2"/>
      <c r="E4" s="2"/>
      <c r="F4" s="2"/>
      <c r="G4" s="3"/>
      <c r="J4" t="s">
        <v>2</v>
      </c>
      <c r="K4" s="21">
        <f>K3*K2</f>
        <v>1572.432</v>
      </c>
    </row>
    <row r="5" spans="2:12" x14ac:dyDescent="0.2">
      <c r="B5" s="1" t="s">
        <v>16</v>
      </c>
      <c r="C5" s="2"/>
      <c r="D5" s="2"/>
      <c r="E5" s="2"/>
      <c r="F5" s="2"/>
      <c r="G5" s="3"/>
      <c r="J5" t="s">
        <v>3</v>
      </c>
      <c r="K5" s="21">
        <f>240.8+281.9</f>
        <v>522.70000000000005</v>
      </c>
      <c r="L5" t="s">
        <v>27</v>
      </c>
    </row>
    <row r="6" spans="2:12" x14ac:dyDescent="0.2">
      <c r="B6" s="4" t="s">
        <v>17</v>
      </c>
      <c r="C6" s="5"/>
      <c r="D6" s="5"/>
      <c r="E6" s="5"/>
      <c r="F6" s="5"/>
      <c r="G6" s="6"/>
      <c r="J6" t="s">
        <v>4</v>
      </c>
      <c r="K6" s="21">
        <f>1138.3+205.46+325+47.4+1</f>
        <v>1717.16</v>
      </c>
      <c r="L6" t="s">
        <v>27</v>
      </c>
    </row>
    <row r="7" spans="2:12" x14ac:dyDescent="0.2">
      <c r="B7" s="10"/>
      <c r="C7" s="11"/>
      <c r="D7" s="8" t="s">
        <v>9</v>
      </c>
      <c r="E7" s="11"/>
      <c r="F7" s="11"/>
      <c r="G7" s="12"/>
      <c r="J7" t="s">
        <v>5</v>
      </c>
      <c r="K7" s="21">
        <f>K4+K6-K5</f>
        <v>2766.8919999999998</v>
      </c>
    </row>
    <row r="8" spans="2:12" x14ac:dyDescent="0.2">
      <c r="B8" s="1" t="s">
        <v>19</v>
      </c>
      <c r="C8" s="13"/>
      <c r="E8" s="13"/>
      <c r="F8" s="13"/>
      <c r="G8" s="14"/>
      <c r="K8" s="20"/>
    </row>
    <row r="9" spans="2:12" x14ac:dyDescent="0.2">
      <c r="B9" s="1" t="s">
        <v>20</v>
      </c>
      <c r="G9" s="15"/>
      <c r="K9" s="21"/>
    </row>
    <row r="10" spans="2:12" x14ac:dyDescent="0.2">
      <c r="B10" s="1" t="s">
        <v>23</v>
      </c>
      <c r="G10" s="15"/>
    </row>
    <row r="11" spans="2:12" x14ac:dyDescent="0.2">
      <c r="B11" s="1" t="s">
        <v>24</v>
      </c>
      <c r="G11" s="15"/>
    </row>
    <row r="12" spans="2:12" x14ac:dyDescent="0.2">
      <c r="B12" s="1" t="s">
        <v>22</v>
      </c>
      <c r="G12" s="15"/>
    </row>
    <row r="13" spans="2:12" x14ac:dyDescent="0.2">
      <c r="B13" s="1" t="s">
        <v>21</v>
      </c>
      <c r="G13" s="15"/>
    </row>
    <row r="14" spans="2:12" x14ac:dyDescent="0.2">
      <c r="B14" s="4" t="s">
        <v>25</v>
      </c>
      <c r="C14" s="16"/>
      <c r="D14" s="16"/>
      <c r="E14" s="16"/>
      <c r="F14" s="16"/>
      <c r="G14" s="17"/>
    </row>
    <row r="16" spans="2:12" x14ac:dyDescent="0.2">
      <c r="B16" s="18">
        <v>45857</v>
      </c>
      <c r="C16" t="s">
        <v>26</v>
      </c>
    </row>
    <row r="17" spans="3:3" x14ac:dyDescent="0.2">
      <c r="C17" t="s">
        <v>33</v>
      </c>
    </row>
  </sheetData>
  <hyperlinks>
    <hyperlink ref="B3" location="elevidys!A1" display="Elevidys (delandistrogen moxeparvovec-rokl)" xr:uid="{46F2F0FF-39E6-443B-9D44-8A57237C41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A893-8ADE-4729-B205-F45738EE77EA}">
  <dimension ref="A1:DI42"/>
  <sheetViews>
    <sheetView zoomScale="130" zoomScaleNormal="13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U2" sqref="U2"/>
    </sheetView>
  </sheetViews>
  <sheetFormatPr defaultRowHeight="12.75" x14ac:dyDescent="0.2"/>
  <cols>
    <col min="1" max="1" width="5" style="21" bestFit="1" customWidth="1"/>
    <col min="2" max="2" width="18.140625" style="21" bestFit="1" customWidth="1"/>
    <col min="3" max="5" width="9.140625" style="21"/>
    <col min="6" max="6" width="9.7109375" style="21" bestFit="1" customWidth="1"/>
    <col min="7" max="16384" width="9.140625" style="21"/>
  </cols>
  <sheetData>
    <row r="1" spans="1:113" x14ac:dyDescent="0.2">
      <c r="A1" s="22" t="s">
        <v>13</v>
      </c>
    </row>
    <row r="2" spans="1:113" x14ac:dyDescent="0.2">
      <c r="A2" s="22"/>
      <c r="C2" s="21" t="s">
        <v>29</v>
      </c>
      <c r="D2" s="21" t="s">
        <v>30</v>
      </c>
      <c r="E2" s="21" t="s">
        <v>31</v>
      </c>
      <c r="F2" s="21" t="s">
        <v>32</v>
      </c>
      <c r="G2" s="21" t="s">
        <v>27</v>
      </c>
      <c r="H2" s="21" t="s">
        <v>34</v>
      </c>
      <c r="I2" s="21" t="s">
        <v>35</v>
      </c>
      <c r="J2" s="21" t="s">
        <v>36</v>
      </c>
      <c r="L2" s="23">
        <v>2020</v>
      </c>
      <c r="M2" s="23">
        <f>L2+1</f>
        <v>2021</v>
      </c>
      <c r="N2" s="23">
        <f t="shared" ref="N2:U2" si="0">M2+1</f>
        <v>2022</v>
      </c>
      <c r="O2" s="23">
        <f t="shared" si="0"/>
        <v>2023</v>
      </c>
      <c r="P2" s="23">
        <f t="shared" si="0"/>
        <v>2024</v>
      </c>
      <c r="Q2" s="23">
        <f t="shared" si="0"/>
        <v>2025</v>
      </c>
      <c r="R2" s="23">
        <f t="shared" si="0"/>
        <v>2026</v>
      </c>
      <c r="S2" s="23">
        <f t="shared" si="0"/>
        <v>2027</v>
      </c>
      <c r="T2" s="23">
        <f t="shared" si="0"/>
        <v>2028</v>
      </c>
      <c r="U2" s="23">
        <f t="shared" si="0"/>
        <v>2029</v>
      </c>
    </row>
    <row r="3" spans="1:113" s="24" customFormat="1" x14ac:dyDescent="0.2">
      <c r="A3" s="21"/>
      <c r="B3" s="24" t="s">
        <v>28</v>
      </c>
      <c r="C3" s="24">
        <v>359.5</v>
      </c>
      <c r="G3" s="24">
        <v>611.5</v>
      </c>
      <c r="N3" s="24">
        <v>933</v>
      </c>
      <c r="O3" s="24">
        <v>1243.3</v>
      </c>
      <c r="P3" s="24">
        <v>1901.98</v>
      </c>
      <c r="Q3" s="24">
        <f>P3*1.01</f>
        <v>1920.9998000000001</v>
      </c>
      <c r="R3" s="24">
        <f t="shared" ref="R3:U3" si="1">Q3*1.01</f>
        <v>1940.2097980000001</v>
      </c>
      <c r="S3" s="24">
        <f t="shared" si="1"/>
        <v>1959.6118959800001</v>
      </c>
      <c r="T3" s="24">
        <f t="shared" si="1"/>
        <v>1979.2080149398</v>
      </c>
      <c r="U3" s="24">
        <f t="shared" si="1"/>
        <v>1999.0000950891981</v>
      </c>
    </row>
    <row r="4" spans="1:113" x14ac:dyDescent="0.2">
      <c r="B4" s="21" t="s">
        <v>37</v>
      </c>
      <c r="N4" s="21">
        <v>139.97999999999999</v>
      </c>
      <c r="O4" s="21">
        <v>150.34</v>
      </c>
      <c r="P4" s="21">
        <v>319.10000000000002</v>
      </c>
      <c r="Q4" s="21">
        <f>Q3*(1-Q18)</f>
        <v>384.19995999999992</v>
      </c>
      <c r="R4" s="21">
        <f t="shared" ref="R4:U4" si="2">R3*(1-R18)</f>
        <v>388.04195959999993</v>
      </c>
      <c r="S4" s="21">
        <f t="shared" si="2"/>
        <v>391.92237919599995</v>
      </c>
      <c r="T4" s="21">
        <f t="shared" si="2"/>
        <v>395.8416029879599</v>
      </c>
      <c r="U4" s="21">
        <f t="shared" si="2"/>
        <v>399.80001901783953</v>
      </c>
    </row>
    <row r="5" spans="1:113" x14ac:dyDescent="0.2">
      <c r="B5" s="21" t="s">
        <v>38</v>
      </c>
      <c r="L5" s="21">
        <f>L3-L4</f>
        <v>0</v>
      </c>
      <c r="M5" s="21">
        <f>M3-M4</f>
        <v>0</v>
      </c>
      <c r="N5" s="21">
        <f>N3-N4</f>
        <v>793.02</v>
      </c>
      <c r="O5" s="21">
        <f t="shared" ref="O5:P5" si="3">O3-O4</f>
        <v>1092.96</v>
      </c>
      <c r="P5" s="21">
        <f t="shared" si="3"/>
        <v>1582.88</v>
      </c>
      <c r="Q5" s="21">
        <f t="shared" ref="Q5" si="4">Q3-Q4</f>
        <v>1536.7998400000001</v>
      </c>
      <c r="R5" s="21">
        <f t="shared" ref="R5" si="5">R3-R4</f>
        <v>1552.1678384000002</v>
      </c>
      <c r="S5" s="21">
        <f t="shared" ref="S5" si="6">S3-S4</f>
        <v>1567.6895167840003</v>
      </c>
      <c r="T5" s="21">
        <f t="shared" ref="T5" si="7">T3-T4</f>
        <v>1583.3664119518401</v>
      </c>
      <c r="U5" s="21">
        <f t="shared" ref="U5" si="8">U3-U4</f>
        <v>1599.2000760713586</v>
      </c>
    </row>
    <row r="6" spans="1:113" x14ac:dyDescent="0.2">
      <c r="B6" s="21" t="s">
        <v>41</v>
      </c>
      <c r="N6" s="21">
        <v>877</v>
      </c>
      <c r="O6" s="21">
        <v>877.4</v>
      </c>
      <c r="P6" s="21">
        <v>804.5</v>
      </c>
    </row>
    <row r="7" spans="1:113" x14ac:dyDescent="0.2">
      <c r="B7" s="21" t="s">
        <v>39</v>
      </c>
      <c r="N7" s="21">
        <v>451.4</v>
      </c>
      <c r="O7" s="21">
        <v>481.9</v>
      </c>
      <c r="P7" s="21">
        <v>557.9</v>
      </c>
      <c r="Q7" s="21">
        <f>P7*1.02</f>
        <v>569.05799999999999</v>
      </c>
      <c r="R7" s="21">
        <f t="shared" ref="R7:U7" si="9">Q7*1.02</f>
        <v>580.43916000000002</v>
      </c>
      <c r="S7" s="21">
        <f t="shared" si="9"/>
        <v>592.04794320000008</v>
      </c>
      <c r="T7" s="21">
        <f t="shared" si="9"/>
        <v>603.88890206400004</v>
      </c>
      <c r="U7" s="21">
        <f t="shared" si="9"/>
        <v>615.96668010528003</v>
      </c>
    </row>
    <row r="8" spans="1:113" x14ac:dyDescent="0.2">
      <c r="B8" s="21" t="s">
        <v>42</v>
      </c>
      <c r="L8" s="21">
        <f>SUM(L6:L7)</f>
        <v>0</v>
      </c>
      <c r="M8" s="21">
        <f t="shared" ref="M8:U8" si="10">SUM(M6:M7)</f>
        <v>0</v>
      </c>
      <c r="N8" s="21">
        <f t="shared" si="10"/>
        <v>1328.4</v>
      </c>
      <c r="O8" s="21">
        <f t="shared" si="10"/>
        <v>1359.3</v>
      </c>
      <c r="P8" s="21">
        <f t="shared" si="10"/>
        <v>1362.4</v>
      </c>
      <c r="Q8" s="21">
        <f t="shared" si="10"/>
        <v>569.05799999999999</v>
      </c>
      <c r="R8" s="21">
        <f t="shared" si="10"/>
        <v>580.43916000000002</v>
      </c>
      <c r="S8" s="21">
        <f t="shared" si="10"/>
        <v>592.04794320000008</v>
      </c>
      <c r="T8" s="21">
        <f t="shared" si="10"/>
        <v>603.88890206400004</v>
      </c>
      <c r="U8" s="21">
        <f t="shared" si="10"/>
        <v>615.96668010528003</v>
      </c>
    </row>
    <row r="9" spans="1:113" x14ac:dyDescent="0.2">
      <c r="B9" s="21" t="s">
        <v>40</v>
      </c>
      <c r="L9" s="21">
        <f>L5-L8</f>
        <v>0</v>
      </c>
      <c r="M9" s="21">
        <f t="shared" ref="M9:U9" si="11">M5-M8</f>
        <v>0</v>
      </c>
      <c r="N9" s="21">
        <f t="shared" si="11"/>
        <v>-535.38000000000011</v>
      </c>
      <c r="O9" s="21">
        <f t="shared" si="11"/>
        <v>-266.33999999999992</v>
      </c>
      <c r="P9" s="21">
        <f t="shared" si="11"/>
        <v>220.48000000000002</v>
      </c>
      <c r="Q9" s="21">
        <f t="shared" si="11"/>
        <v>967.74184000000014</v>
      </c>
      <c r="R9" s="21">
        <f t="shared" si="11"/>
        <v>971.72867840000015</v>
      </c>
      <c r="S9" s="21">
        <f t="shared" si="11"/>
        <v>975.64157358400018</v>
      </c>
      <c r="T9" s="21">
        <f t="shared" si="11"/>
        <v>979.47750988784003</v>
      </c>
      <c r="U9" s="21">
        <f t="shared" si="11"/>
        <v>983.23339596607855</v>
      </c>
    </row>
    <row r="10" spans="1:113" x14ac:dyDescent="0.2">
      <c r="B10" s="21" t="s">
        <v>43</v>
      </c>
      <c r="N10" s="21">
        <v>-28.3</v>
      </c>
      <c r="O10" s="21">
        <v>33</v>
      </c>
      <c r="P10" s="21">
        <v>42.7</v>
      </c>
      <c r="Q10" s="21">
        <f>P21*$X$15</f>
        <v>4.354000000000001</v>
      </c>
      <c r="R10" s="21">
        <f t="shared" ref="R10:U10" si="12">Q21*$X$15</f>
        <v>19.907533440000005</v>
      </c>
      <c r="S10" s="21">
        <f t="shared" si="12"/>
        <v>35.773712829440008</v>
      </c>
      <c r="T10" s="21">
        <f t="shared" si="12"/>
        <v>51.956357412055048</v>
      </c>
      <c r="U10" s="21">
        <f t="shared" si="12"/>
        <v>68.459299288853373</v>
      </c>
    </row>
    <row r="11" spans="1:113" x14ac:dyDescent="0.2">
      <c r="B11" s="21" t="s">
        <v>44</v>
      </c>
      <c r="L11" s="21">
        <f>L9+L10</f>
        <v>0</v>
      </c>
      <c r="M11" s="21">
        <f t="shared" ref="M11:U11" si="13">M9+M10</f>
        <v>0</v>
      </c>
      <c r="N11" s="21">
        <f t="shared" si="13"/>
        <v>-563.68000000000006</v>
      </c>
      <c r="O11" s="21">
        <f t="shared" si="13"/>
        <v>-233.33999999999992</v>
      </c>
      <c r="P11" s="21">
        <f t="shared" si="13"/>
        <v>263.18</v>
      </c>
      <c r="Q11" s="21">
        <f t="shared" si="13"/>
        <v>972.09584000000018</v>
      </c>
      <c r="R11" s="21">
        <f t="shared" si="13"/>
        <v>991.6362118400001</v>
      </c>
      <c r="S11" s="21">
        <f t="shared" si="13"/>
        <v>1011.4152864134402</v>
      </c>
      <c r="T11" s="21">
        <f t="shared" si="13"/>
        <v>1031.4338672998952</v>
      </c>
      <c r="U11" s="21">
        <f t="shared" si="13"/>
        <v>1051.692695254932</v>
      </c>
    </row>
    <row r="12" spans="1:113" x14ac:dyDescent="0.2">
      <c r="B12" s="21" t="s">
        <v>45</v>
      </c>
      <c r="N12" s="21">
        <v>13.5</v>
      </c>
      <c r="O12" s="21">
        <v>15.9</v>
      </c>
      <c r="P12" s="21">
        <v>25.5</v>
      </c>
      <c r="Q12" s="21">
        <f>Q11*0.2</f>
        <v>194.41916800000004</v>
      </c>
      <c r="R12" s="21">
        <f t="shared" ref="R12:U12" si="14">R11*0.2</f>
        <v>198.32724236800004</v>
      </c>
      <c r="S12" s="21">
        <f t="shared" si="14"/>
        <v>202.28305728268805</v>
      </c>
      <c r="T12" s="21">
        <f t="shared" si="14"/>
        <v>206.28677345997903</v>
      </c>
      <c r="U12" s="21">
        <f t="shared" si="14"/>
        <v>210.33853905098641</v>
      </c>
    </row>
    <row r="13" spans="1:113" x14ac:dyDescent="0.2">
      <c r="B13" s="21" t="s">
        <v>46</v>
      </c>
      <c r="L13" s="21">
        <f>L11-L12</f>
        <v>0</v>
      </c>
      <c r="M13" s="21">
        <f t="shared" ref="M13:U13" si="15">M11-M12</f>
        <v>0</v>
      </c>
      <c r="N13" s="21">
        <f t="shared" si="15"/>
        <v>-577.18000000000006</v>
      </c>
      <c r="O13" s="21">
        <f t="shared" si="15"/>
        <v>-249.23999999999992</v>
      </c>
      <c r="P13" s="21">
        <f t="shared" si="15"/>
        <v>237.68</v>
      </c>
      <c r="Q13" s="21">
        <f t="shared" si="15"/>
        <v>777.67667200000017</v>
      </c>
      <c r="R13" s="21">
        <f t="shared" si="15"/>
        <v>793.30896947200006</v>
      </c>
      <c r="S13" s="21">
        <f t="shared" si="15"/>
        <v>809.13222913075219</v>
      </c>
      <c r="T13" s="21">
        <f t="shared" si="15"/>
        <v>825.14709383991612</v>
      </c>
      <c r="U13" s="21">
        <f t="shared" si="15"/>
        <v>841.35415620394565</v>
      </c>
      <c r="V13" s="21">
        <f>U13*(1+$X$16)</f>
        <v>832.94061464190622</v>
      </c>
      <c r="W13" s="21">
        <f t="shared" ref="W13:CH13" si="16">V13*(1+$X$16)</f>
        <v>824.61120849548718</v>
      </c>
      <c r="X13" s="21">
        <f t="shared" si="16"/>
        <v>816.36509641053226</v>
      </c>
      <c r="Y13" s="21">
        <f t="shared" si="16"/>
        <v>808.20144544642687</v>
      </c>
      <c r="Z13" s="21">
        <f t="shared" si="16"/>
        <v>800.11943099196264</v>
      </c>
      <c r="AA13" s="21">
        <f t="shared" si="16"/>
        <v>792.11823668204306</v>
      </c>
      <c r="AB13" s="21">
        <f t="shared" si="16"/>
        <v>784.19705431522266</v>
      </c>
      <c r="AC13" s="21">
        <f t="shared" si="16"/>
        <v>776.35508377207043</v>
      </c>
      <c r="AD13" s="21">
        <f t="shared" si="16"/>
        <v>768.59153293434974</v>
      </c>
      <c r="AE13" s="21">
        <f t="shared" si="16"/>
        <v>760.90561760500623</v>
      </c>
      <c r="AF13" s="21">
        <f t="shared" si="16"/>
        <v>753.29656142895612</v>
      </c>
      <c r="AG13" s="21">
        <f t="shared" si="16"/>
        <v>745.76359581466659</v>
      </c>
      <c r="AH13" s="21">
        <f t="shared" si="16"/>
        <v>738.30595985651996</v>
      </c>
      <c r="AI13" s="21">
        <f t="shared" si="16"/>
        <v>730.92290025795478</v>
      </c>
      <c r="AJ13" s="21">
        <f t="shared" si="16"/>
        <v>723.61367125537527</v>
      </c>
      <c r="AK13" s="21">
        <f t="shared" si="16"/>
        <v>716.37753454282154</v>
      </c>
      <c r="AL13" s="21">
        <f t="shared" si="16"/>
        <v>709.2137591973933</v>
      </c>
      <c r="AM13" s="21">
        <f t="shared" si="16"/>
        <v>702.12162160541936</v>
      </c>
      <c r="AN13" s="21">
        <f t="shared" si="16"/>
        <v>695.10040538936516</v>
      </c>
      <c r="AO13" s="21">
        <f t="shared" si="16"/>
        <v>688.14940133547145</v>
      </c>
      <c r="AP13" s="21">
        <f t="shared" si="16"/>
        <v>681.26790732211668</v>
      </c>
      <c r="AQ13" s="21">
        <f t="shared" si="16"/>
        <v>674.45522824889554</v>
      </c>
      <c r="AR13" s="21">
        <f t="shared" si="16"/>
        <v>667.7106759664066</v>
      </c>
      <c r="AS13" s="21">
        <f t="shared" si="16"/>
        <v>661.03356920674253</v>
      </c>
      <c r="AT13" s="21">
        <f t="shared" si="16"/>
        <v>654.42323351467508</v>
      </c>
      <c r="AU13" s="21">
        <f t="shared" si="16"/>
        <v>647.87900117952836</v>
      </c>
      <c r="AV13" s="21">
        <f t="shared" si="16"/>
        <v>641.40021116773312</v>
      </c>
      <c r="AW13" s="21">
        <f t="shared" si="16"/>
        <v>634.98620905605583</v>
      </c>
      <c r="AX13" s="21">
        <f t="shared" si="16"/>
        <v>628.63634696549525</v>
      </c>
      <c r="AY13" s="21">
        <f t="shared" si="16"/>
        <v>622.34998349584032</v>
      </c>
      <c r="AZ13" s="21">
        <f t="shared" si="16"/>
        <v>616.12648366088195</v>
      </c>
      <c r="BA13" s="21">
        <f t="shared" si="16"/>
        <v>609.96521882427317</v>
      </c>
      <c r="BB13" s="21">
        <f t="shared" si="16"/>
        <v>603.86556663603039</v>
      </c>
      <c r="BC13" s="21">
        <f t="shared" si="16"/>
        <v>597.82691096967005</v>
      </c>
      <c r="BD13" s="21">
        <f t="shared" si="16"/>
        <v>591.84864185997333</v>
      </c>
      <c r="BE13" s="21">
        <f t="shared" si="16"/>
        <v>585.93015544137359</v>
      </c>
      <c r="BF13" s="21">
        <f t="shared" si="16"/>
        <v>580.07085388695987</v>
      </c>
      <c r="BG13" s="21">
        <f t="shared" si="16"/>
        <v>574.2701453480903</v>
      </c>
      <c r="BH13" s="21">
        <f t="shared" si="16"/>
        <v>568.52744389460941</v>
      </c>
      <c r="BI13" s="21">
        <f t="shared" si="16"/>
        <v>562.84216945566334</v>
      </c>
      <c r="BJ13" s="21">
        <f t="shared" si="16"/>
        <v>557.21374776110667</v>
      </c>
      <c r="BK13" s="21">
        <f t="shared" si="16"/>
        <v>551.64161028349565</v>
      </c>
      <c r="BL13" s="21">
        <f t="shared" si="16"/>
        <v>546.12519418066074</v>
      </c>
      <c r="BM13" s="21">
        <f t="shared" si="16"/>
        <v>540.66394223885413</v>
      </c>
      <c r="BN13" s="21">
        <f t="shared" si="16"/>
        <v>535.25730281646554</v>
      </c>
      <c r="BO13" s="21">
        <f t="shared" si="16"/>
        <v>529.90472978830087</v>
      </c>
      <c r="BP13" s="21">
        <f t="shared" si="16"/>
        <v>524.60568249041785</v>
      </c>
      <c r="BQ13" s="21">
        <f t="shared" si="16"/>
        <v>519.3596256655137</v>
      </c>
      <c r="BR13" s="21">
        <f t="shared" si="16"/>
        <v>514.16602940885855</v>
      </c>
      <c r="BS13" s="21">
        <f t="shared" si="16"/>
        <v>509.02436911476997</v>
      </c>
      <c r="BT13" s="21">
        <f t="shared" si="16"/>
        <v>503.93412542362228</v>
      </c>
      <c r="BU13" s="21">
        <f t="shared" si="16"/>
        <v>498.89478416938607</v>
      </c>
      <c r="BV13" s="21">
        <f t="shared" si="16"/>
        <v>493.90583632769221</v>
      </c>
      <c r="BW13" s="21">
        <f t="shared" si="16"/>
        <v>488.96677796441531</v>
      </c>
      <c r="BX13" s="21">
        <f t="shared" si="16"/>
        <v>484.07711018477113</v>
      </c>
      <c r="BY13" s="21">
        <f t="shared" si="16"/>
        <v>479.23633908292339</v>
      </c>
      <c r="BZ13" s="21">
        <f t="shared" si="16"/>
        <v>474.44397569209417</v>
      </c>
      <c r="CA13" s="21">
        <f t="shared" si="16"/>
        <v>469.69953593517323</v>
      </c>
      <c r="CB13" s="21">
        <f t="shared" si="16"/>
        <v>465.00254057582151</v>
      </c>
      <c r="CC13" s="21">
        <f t="shared" si="16"/>
        <v>460.35251517006327</v>
      </c>
      <c r="CD13" s="21">
        <f t="shared" si="16"/>
        <v>455.74899001836263</v>
      </c>
      <c r="CE13" s="21">
        <f t="shared" si="16"/>
        <v>451.19150011817902</v>
      </c>
      <c r="CF13" s="21">
        <f t="shared" si="16"/>
        <v>446.6795851169972</v>
      </c>
      <c r="CG13" s="21">
        <f t="shared" si="16"/>
        <v>442.21278926582721</v>
      </c>
      <c r="CH13" s="21">
        <f t="shared" si="16"/>
        <v>437.79066137316892</v>
      </c>
      <c r="CI13" s="21">
        <f t="shared" ref="CI13:DI13" si="17">CH13*(1+$X$16)</f>
        <v>433.41275475943723</v>
      </c>
      <c r="CJ13" s="21">
        <f t="shared" si="17"/>
        <v>429.07862721184284</v>
      </c>
      <c r="CK13" s="21">
        <f t="shared" si="17"/>
        <v>424.78784093972439</v>
      </c>
      <c r="CL13" s="21">
        <f t="shared" si="17"/>
        <v>420.53996253032716</v>
      </c>
      <c r="CM13" s="21">
        <f t="shared" si="17"/>
        <v>416.33456290502386</v>
      </c>
      <c r="CN13" s="21">
        <f t="shared" si="17"/>
        <v>412.17121727597362</v>
      </c>
      <c r="CO13" s="21">
        <f t="shared" si="17"/>
        <v>408.0495051032139</v>
      </c>
      <c r="CP13" s="21">
        <f t="shared" si="17"/>
        <v>403.96901005218177</v>
      </c>
      <c r="CQ13" s="21">
        <f t="shared" si="17"/>
        <v>399.92931995165998</v>
      </c>
      <c r="CR13" s="21">
        <f t="shared" si="17"/>
        <v>395.93002675214336</v>
      </c>
      <c r="CS13" s="21">
        <f t="shared" si="17"/>
        <v>391.97072648462193</v>
      </c>
      <c r="CT13" s="21">
        <f t="shared" si="17"/>
        <v>388.0510192197757</v>
      </c>
      <c r="CU13" s="21">
        <f t="shared" si="17"/>
        <v>384.17050902757796</v>
      </c>
      <c r="CV13" s="21">
        <f t="shared" si="17"/>
        <v>380.32880393730215</v>
      </c>
      <c r="CW13" s="21">
        <f t="shared" si="17"/>
        <v>376.52551589792915</v>
      </c>
      <c r="CX13" s="21">
        <f t="shared" si="17"/>
        <v>372.76026073894985</v>
      </c>
      <c r="CY13" s="21">
        <f t="shared" si="17"/>
        <v>369.03265813156037</v>
      </c>
      <c r="CZ13" s="21">
        <f t="shared" si="17"/>
        <v>365.34233155024475</v>
      </c>
      <c r="DA13" s="21">
        <f t="shared" si="17"/>
        <v>361.68890823474231</v>
      </c>
      <c r="DB13" s="21">
        <f t="shared" si="17"/>
        <v>358.07201915239489</v>
      </c>
      <c r="DC13" s="21">
        <f t="shared" si="17"/>
        <v>354.49129896087095</v>
      </c>
      <c r="DD13" s="21">
        <f t="shared" si="17"/>
        <v>350.94638597126226</v>
      </c>
      <c r="DE13" s="21">
        <f t="shared" si="17"/>
        <v>347.43692211154962</v>
      </c>
      <c r="DF13" s="21">
        <f t="shared" si="17"/>
        <v>343.9625528904341</v>
      </c>
      <c r="DG13" s="21">
        <f t="shared" si="17"/>
        <v>340.52292736152975</v>
      </c>
      <c r="DH13" s="21">
        <f t="shared" si="17"/>
        <v>337.11769808791445</v>
      </c>
      <c r="DI13" s="21">
        <f t="shared" si="17"/>
        <v>333.74652110703528</v>
      </c>
    </row>
    <row r="14" spans="1:113" x14ac:dyDescent="0.2">
      <c r="B14" s="21" t="s">
        <v>1</v>
      </c>
      <c r="N14" s="21">
        <v>87.558999999999997</v>
      </c>
      <c r="O14" s="21">
        <v>92.397999999999996</v>
      </c>
      <c r="P14" s="21">
        <v>95.1</v>
      </c>
      <c r="Q14" s="21">
        <f>P14</f>
        <v>95.1</v>
      </c>
      <c r="R14" s="21">
        <f t="shared" ref="R14:U14" si="18">Q14</f>
        <v>95.1</v>
      </c>
      <c r="S14" s="21">
        <f t="shared" si="18"/>
        <v>95.1</v>
      </c>
      <c r="T14" s="21">
        <f t="shared" si="18"/>
        <v>95.1</v>
      </c>
      <c r="U14" s="21">
        <f t="shared" si="18"/>
        <v>95.1</v>
      </c>
    </row>
    <row r="15" spans="1:113" x14ac:dyDescent="0.2">
      <c r="B15" s="21" t="s">
        <v>47</v>
      </c>
      <c r="L15" s="20" t="e">
        <f>L13/L14</f>
        <v>#DIV/0!</v>
      </c>
      <c r="M15" s="20" t="e">
        <f>M13/M14</f>
        <v>#DIV/0!</v>
      </c>
      <c r="N15" s="20">
        <f>N13/N14</f>
        <v>-6.5918980344681879</v>
      </c>
      <c r="O15" s="20">
        <f t="shared" ref="O15:P15" si="19">O13/O14</f>
        <v>-2.6974609840039823</v>
      </c>
      <c r="P15" s="20">
        <f t="shared" si="19"/>
        <v>2.4992639327024189</v>
      </c>
      <c r="Q15" s="20">
        <f t="shared" ref="Q15" si="20">Q13/Q14</f>
        <v>8.1774623764458489</v>
      </c>
      <c r="R15" s="20">
        <f t="shared" ref="R15" si="21">R13/R14</f>
        <v>8.3418398472344908</v>
      </c>
      <c r="S15" s="20">
        <f t="shared" ref="S15" si="22">S13/S14</f>
        <v>8.5082253326051767</v>
      </c>
      <c r="T15" s="20">
        <f t="shared" ref="T15" si="23">T13/T14</f>
        <v>8.6766255924281399</v>
      </c>
      <c r="U15" s="20">
        <f t="shared" ref="U15" si="24">U13/U14</f>
        <v>8.8470468580856547</v>
      </c>
      <c r="W15" s="21" t="s">
        <v>53</v>
      </c>
      <c r="X15" s="26">
        <v>0.02</v>
      </c>
    </row>
    <row r="16" spans="1:113" x14ac:dyDescent="0.2">
      <c r="W16" s="21" t="s">
        <v>54</v>
      </c>
      <c r="X16" s="26">
        <v>-0.01</v>
      </c>
    </row>
    <row r="17" spans="1:24" s="24" customFormat="1" x14ac:dyDescent="0.2">
      <c r="A17" s="21"/>
      <c r="B17" s="24" t="s">
        <v>48</v>
      </c>
      <c r="O17" s="25">
        <f>O3/N3-1</f>
        <v>0.33258306538049309</v>
      </c>
      <c r="P17" s="25">
        <f>P3/O3-1</f>
        <v>0.52978364031207281</v>
      </c>
      <c r="Q17" s="25">
        <f t="shared" ref="Q17:U17" si="25">Q3/P3-1</f>
        <v>1.0000000000000009E-2</v>
      </c>
      <c r="R17" s="25">
        <f t="shared" si="25"/>
        <v>1.0000000000000009E-2</v>
      </c>
      <c r="S17" s="25">
        <f t="shared" si="25"/>
        <v>1.0000000000000009E-2</v>
      </c>
      <c r="T17" s="25">
        <f t="shared" si="25"/>
        <v>1.0000000000000009E-2</v>
      </c>
      <c r="U17" s="25">
        <f t="shared" si="25"/>
        <v>1.0000000000000009E-2</v>
      </c>
      <c r="W17" s="27" t="s">
        <v>55</v>
      </c>
      <c r="X17" s="26">
        <v>0.08</v>
      </c>
    </row>
    <row r="18" spans="1:24" x14ac:dyDescent="0.2">
      <c r="B18" s="21" t="s">
        <v>38</v>
      </c>
      <c r="C18" s="26">
        <f>C5/C3</f>
        <v>0</v>
      </c>
      <c r="D18" s="26" t="e">
        <f t="shared" ref="D18:J18" si="26">D5/D3</f>
        <v>#DIV/0!</v>
      </c>
      <c r="E18" s="26" t="e">
        <f t="shared" si="26"/>
        <v>#DIV/0!</v>
      </c>
      <c r="F18" s="26" t="e">
        <f t="shared" si="26"/>
        <v>#DIV/0!</v>
      </c>
      <c r="G18" s="26">
        <f t="shared" si="26"/>
        <v>0</v>
      </c>
      <c r="H18" s="26" t="e">
        <f t="shared" si="26"/>
        <v>#DIV/0!</v>
      </c>
      <c r="I18" s="26" t="e">
        <f t="shared" si="26"/>
        <v>#DIV/0!</v>
      </c>
      <c r="J18" s="26" t="e">
        <f t="shared" si="26"/>
        <v>#DIV/0!</v>
      </c>
      <c r="L18" s="26" t="e">
        <f>L5/L3</f>
        <v>#DIV/0!</v>
      </c>
      <c r="M18" s="26" t="e">
        <f>M5/M3</f>
        <v>#DIV/0!</v>
      </c>
      <c r="N18" s="26">
        <f>N5/N3</f>
        <v>0.84996784565916395</v>
      </c>
      <c r="O18" s="26">
        <f t="shared" ref="O18:P18" si="27">O5/O3</f>
        <v>0.87907986809297844</v>
      </c>
      <c r="P18" s="26">
        <f t="shared" si="27"/>
        <v>0.83222746821733151</v>
      </c>
      <c r="Q18" s="26">
        <v>0.8</v>
      </c>
      <c r="R18" s="26">
        <v>0.8</v>
      </c>
      <c r="S18" s="26">
        <v>0.8</v>
      </c>
      <c r="T18" s="26">
        <v>0.8</v>
      </c>
      <c r="U18" s="26">
        <v>0.8</v>
      </c>
      <c r="W18" s="21" t="s">
        <v>56</v>
      </c>
      <c r="X18" s="21">
        <f>NPV(X17,Q13:XFD13)+Main!K5-Main!K6</f>
        <v>8323.8042332358727</v>
      </c>
    </row>
    <row r="19" spans="1:24" x14ac:dyDescent="0.2">
      <c r="B19" s="21" t="s">
        <v>52</v>
      </c>
      <c r="C19" s="26"/>
      <c r="D19" s="26"/>
      <c r="E19" s="26"/>
      <c r="F19" s="26"/>
      <c r="G19" s="26"/>
      <c r="H19" s="26"/>
      <c r="I19" s="26"/>
      <c r="J19" s="26"/>
      <c r="L19" s="26"/>
      <c r="M19" s="26"/>
      <c r="N19" s="26"/>
      <c r="O19" s="26">
        <f>O7/N7-1</f>
        <v>6.7567567567567544E-2</v>
      </c>
      <c r="P19" s="26">
        <f>P7/O7-1</f>
        <v>0.15770906827142572</v>
      </c>
      <c r="Q19" s="26">
        <f t="shared" ref="Q19:U19" si="28">Q7/P7-1</f>
        <v>2.0000000000000018E-2</v>
      </c>
      <c r="R19" s="26">
        <f t="shared" si="28"/>
        <v>2.0000000000000018E-2</v>
      </c>
      <c r="S19" s="26">
        <f t="shared" si="28"/>
        <v>2.0000000000000018E-2</v>
      </c>
      <c r="T19" s="26">
        <f t="shared" si="28"/>
        <v>2.0000000000000018E-2</v>
      </c>
      <c r="U19" s="26">
        <f t="shared" si="28"/>
        <v>2.0000000000000018E-2</v>
      </c>
      <c r="W19" s="21" t="s">
        <v>57</v>
      </c>
      <c r="X19" s="20">
        <f>X18/Main!K3</f>
        <v>84.697378158021436</v>
      </c>
    </row>
    <row r="20" spans="1:24" x14ac:dyDescent="0.2">
      <c r="X20" s="26">
        <f>X19/Main!K2-1</f>
        <v>4.2935861348763398</v>
      </c>
    </row>
    <row r="21" spans="1:24" x14ac:dyDescent="0.2">
      <c r="B21" s="21" t="s">
        <v>49</v>
      </c>
      <c r="P21" s="21">
        <f>P22-P35</f>
        <v>217.70000000000005</v>
      </c>
      <c r="Q21" s="21">
        <f>P21+Q13</f>
        <v>995.37667200000021</v>
      </c>
      <c r="R21" s="21">
        <f t="shared" ref="R21:U21" si="29">Q21+R13</f>
        <v>1788.6856414720003</v>
      </c>
      <c r="S21" s="21">
        <f t="shared" si="29"/>
        <v>2597.8178706027525</v>
      </c>
      <c r="T21" s="21">
        <f t="shared" si="29"/>
        <v>3422.9649644426686</v>
      </c>
      <c r="U21" s="21">
        <f t="shared" si="29"/>
        <v>4264.3191206466145</v>
      </c>
    </row>
    <row r="22" spans="1:24" x14ac:dyDescent="0.2">
      <c r="B22" s="21" t="s">
        <v>3</v>
      </c>
      <c r="P22" s="21">
        <f>1103+251.8</f>
        <v>1354.8</v>
      </c>
    </row>
    <row r="23" spans="1:24" x14ac:dyDescent="0.2">
      <c r="B23" s="21" t="s">
        <v>50</v>
      </c>
      <c r="P23" s="21">
        <v>602</v>
      </c>
    </row>
    <row r="24" spans="1:24" x14ac:dyDescent="0.2">
      <c r="B24" s="21" t="s">
        <v>58</v>
      </c>
      <c r="P24" s="21">
        <v>750</v>
      </c>
    </row>
    <row r="25" spans="1:24" x14ac:dyDescent="0.2">
      <c r="B25" s="21" t="s">
        <v>59</v>
      </c>
      <c r="P25" s="21">
        <v>276.3</v>
      </c>
    </row>
    <row r="26" spans="1:24" x14ac:dyDescent="0.2">
      <c r="B26" s="21" t="s">
        <v>60</v>
      </c>
      <c r="P26" s="21">
        <f>90.5</f>
        <v>90.5</v>
      </c>
    </row>
    <row r="27" spans="1:24" x14ac:dyDescent="0.2">
      <c r="B27" s="21" t="s">
        <v>61</v>
      </c>
      <c r="P27" s="21">
        <v>340.3</v>
      </c>
    </row>
    <row r="28" spans="1:24" x14ac:dyDescent="0.2">
      <c r="B28" s="21" t="s">
        <v>62</v>
      </c>
      <c r="P28" s="21">
        <v>148.30000000000001</v>
      </c>
    </row>
    <row r="29" spans="1:24" x14ac:dyDescent="0.2">
      <c r="B29" s="21" t="s">
        <v>63</v>
      </c>
      <c r="P29" s="21">
        <f>188+133+80</f>
        <v>401</v>
      </c>
    </row>
    <row r="30" spans="1:24" x14ac:dyDescent="0.2">
      <c r="B30" s="21" t="s">
        <v>71</v>
      </c>
      <c r="P30" s="21">
        <f>SUM(P22:P29)</f>
        <v>3963.2000000000007</v>
      </c>
    </row>
    <row r="32" spans="1:24" x14ac:dyDescent="0.2">
      <c r="B32" s="21" t="s">
        <v>51</v>
      </c>
      <c r="P32" s="21">
        <v>214.4</v>
      </c>
    </row>
    <row r="33" spans="2:16" x14ac:dyDescent="0.2">
      <c r="B33" s="21" t="s">
        <v>64</v>
      </c>
      <c r="P33" s="21">
        <v>373.5</v>
      </c>
    </row>
    <row r="34" spans="2:16" x14ac:dyDescent="0.2">
      <c r="B34" s="21" t="s">
        <v>65</v>
      </c>
      <c r="P34" s="21">
        <f>130+325</f>
        <v>455</v>
      </c>
    </row>
    <row r="35" spans="2:16" x14ac:dyDescent="0.2">
      <c r="B35" s="21" t="s">
        <v>4</v>
      </c>
      <c r="P35" s="21">
        <f>1137.1</f>
        <v>1137.0999999999999</v>
      </c>
    </row>
    <row r="36" spans="2:16" x14ac:dyDescent="0.2">
      <c r="B36" s="21" t="s">
        <v>66</v>
      </c>
      <c r="P36" s="21">
        <v>13.5</v>
      </c>
    </row>
    <row r="37" spans="2:16" x14ac:dyDescent="0.2">
      <c r="B37" s="21" t="s">
        <v>67</v>
      </c>
      <c r="P37" s="21">
        <v>192.5</v>
      </c>
    </row>
    <row r="38" spans="2:16" x14ac:dyDescent="0.2">
      <c r="B38" s="21" t="s">
        <v>68</v>
      </c>
      <c r="P38" s="21">
        <v>47.4</v>
      </c>
    </row>
    <row r="39" spans="2:16" x14ac:dyDescent="0.2">
      <c r="B39" s="21" t="s">
        <v>69</v>
      </c>
      <c r="P39" s="21">
        <v>1.8</v>
      </c>
    </row>
    <row r="40" spans="2:16" x14ac:dyDescent="0.2">
      <c r="B40" s="21" t="s">
        <v>70</v>
      </c>
      <c r="P40" s="21">
        <f>SUM(P32:P39)</f>
        <v>2435.2000000000003</v>
      </c>
    </row>
    <row r="41" spans="2:16" x14ac:dyDescent="0.2">
      <c r="B41" s="21" t="s">
        <v>72</v>
      </c>
      <c r="P41" s="21">
        <f>P30-P40</f>
        <v>1528.0000000000005</v>
      </c>
    </row>
    <row r="42" spans="2:16" x14ac:dyDescent="0.2">
      <c r="B42" s="21" t="s">
        <v>73</v>
      </c>
      <c r="P42" s="21">
        <f>P41+P40</f>
        <v>3963.2000000000007</v>
      </c>
    </row>
  </sheetData>
  <hyperlinks>
    <hyperlink ref="A1" location="Main!A1" display="Main" xr:uid="{E7D2AB81-0BD9-40CF-9991-10683543A777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2F66-F77F-4FF1-81E8-6D4E8B2BBB7B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2.75" x14ac:dyDescent="0.2"/>
  <cols>
    <col min="1" max="1" width="5" bestFit="1" customWidth="1"/>
  </cols>
  <sheetData>
    <row r="1" spans="1:5" x14ac:dyDescent="0.2">
      <c r="A1" s="28" t="s">
        <v>13</v>
      </c>
    </row>
    <row r="2" spans="1:5" x14ac:dyDescent="0.2">
      <c r="B2" t="s">
        <v>92</v>
      </c>
      <c r="C2" t="s">
        <v>88</v>
      </c>
      <c r="D2" t="s">
        <v>90</v>
      </c>
      <c r="E2" t="s">
        <v>93</v>
      </c>
    </row>
  </sheetData>
  <hyperlinks>
    <hyperlink ref="A1" location="Main!A1" display="Main" xr:uid="{411B41BB-FE21-41A9-8138-142297573D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0355-589F-41A0-8BDC-82712836F060}">
  <dimension ref="A1:E3"/>
  <sheetViews>
    <sheetView zoomScale="115" zoomScaleNormal="115" workbookViewId="0">
      <pane ySplit="2" topLeftCell="A3" activePane="bottomLeft" state="frozen"/>
      <selection pane="bottomLeft" activeCell="E23" sqref="E23"/>
    </sheetView>
  </sheetViews>
  <sheetFormatPr defaultRowHeight="12.75" x14ac:dyDescent="0.2"/>
  <cols>
    <col min="1" max="1" width="5" bestFit="1" customWidth="1"/>
    <col min="3" max="3" width="9.85546875" style="13" bestFit="1" customWidth="1"/>
  </cols>
  <sheetData>
    <row r="1" spans="1:5" x14ac:dyDescent="0.2">
      <c r="A1" s="28" t="s">
        <v>13</v>
      </c>
      <c r="C1"/>
    </row>
    <row r="2" spans="1:5" x14ac:dyDescent="0.2">
      <c r="B2" s="13" t="s">
        <v>87</v>
      </c>
      <c r="C2" s="13" t="s">
        <v>88</v>
      </c>
      <c r="D2" s="13" t="s">
        <v>89</v>
      </c>
      <c r="E2" s="13" t="s">
        <v>90</v>
      </c>
    </row>
    <row r="3" spans="1:5" x14ac:dyDescent="0.2">
      <c r="E3" t="s">
        <v>91</v>
      </c>
    </row>
  </sheetData>
  <hyperlinks>
    <hyperlink ref="A1" location="Main!A1" display="Main" xr:uid="{E2015FD0-0F64-414E-A25D-95675372938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E37D-39D8-4DCA-A95F-E6EADC0FC071}">
  <dimension ref="A1:P29"/>
  <sheetViews>
    <sheetView tabSelected="1" zoomScale="130" zoomScaleNormal="130" workbookViewId="0">
      <selection activeCell="A24" sqref="A24"/>
    </sheetView>
  </sheetViews>
  <sheetFormatPr defaultRowHeight="12.75" x14ac:dyDescent="0.2"/>
  <cols>
    <col min="1" max="1" width="5" bestFit="1" customWidth="1"/>
    <col min="2" max="2" width="14.42578125" bestFit="1" customWidth="1"/>
    <col min="3" max="3" width="9.85546875" customWidth="1"/>
  </cols>
  <sheetData>
    <row r="1" spans="1:3" x14ac:dyDescent="0.2">
      <c r="A1" s="28" t="s">
        <v>13</v>
      </c>
    </row>
    <row r="2" spans="1:3" x14ac:dyDescent="0.2">
      <c r="B2" t="s">
        <v>75</v>
      </c>
      <c r="C2" t="s">
        <v>85</v>
      </c>
    </row>
    <row r="3" spans="1:3" x14ac:dyDescent="0.2">
      <c r="B3" t="s">
        <v>76</v>
      </c>
      <c r="C3" t="s">
        <v>86</v>
      </c>
    </row>
    <row r="4" spans="1:3" x14ac:dyDescent="0.2">
      <c r="B4" t="s">
        <v>7</v>
      </c>
      <c r="C4" t="s">
        <v>74</v>
      </c>
    </row>
    <row r="5" spans="1:3" x14ac:dyDescent="0.2">
      <c r="B5" t="s">
        <v>10</v>
      </c>
      <c r="C5" t="s">
        <v>14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77</v>
      </c>
    </row>
    <row r="9" spans="1:3" x14ac:dyDescent="0.2">
      <c r="C9" s="29" t="s">
        <v>80</v>
      </c>
    </row>
    <row r="12" spans="1:3" x14ac:dyDescent="0.2">
      <c r="C12" s="29" t="s">
        <v>81</v>
      </c>
    </row>
    <row r="15" spans="1:3" x14ac:dyDescent="0.2">
      <c r="C15" s="29" t="s">
        <v>95</v>
      </c>
    </row>
    <row r="18" spans="2:16" x14ac:dyDescent="0.2">
      <c r="C18" s="29" t="s">
        <v>94</v>
      </c>
    </row>
    <row r="21" spans="2:16" x14ac:dyDescent="0.2">
      <c r="C21" t="s">
        <v>84</v>
      </c>
    </row>
    <row r="22" spans="2:16" x14ac:dyDescent="0.2">
      <c r="C22">
        <v>2025</v>
      </c>
      <c r="D22">
        <f>C22+1</f>
        <v>2026</v>
      </c>
      <c r="E22">
        <f t="shared" ref="E22:P22" si="0">D22+1</f>
        <v>2027</v>
      </c>
      <c r="F22">
        <f t="shared" si="0"/>
        <v>2028</v>
      </c>
      <c r="G22">
        <f t="shared" si="0"/>
        <v>2029</v>
      </c>
      <c r="H22">
        <f t="shared" si="0"/>
        <v>2030</v>
      </c>
      <c r="I22">
        <f t="shared" si="0"/>
        <v>2031</v>
      </c>
      <c r="J22">
        <f t="shared" si="0"/>
        <v>2032</v>
      </c>
      <c r="K22">
        <f t="shared" si="0"/>
        <v>2033</v>
      </c>
      <c r="L22">
        <f t="shared" si="0"/>
        <v>2034</v>
      </c>
    </row>
    <row r="23" spans="2:16" x14ac:dyDescent="0.2">
      <c r="B23" t="s">
        <v>82</v>
      </c>
      <c r="C23" s="21">
        <f>15000*0.8</f>
        <v>12000</v>
      </c>
      <c r="D23" s="21">
        <f>C23*1.01</f>
        <v>12120</v>
      </c>
      <c r="E23" s="21">
        <f t="shared" ref="E23:P23" si="1">D23*1.01</f>
        <v>12241.2</v>
      </c>
      <c r="F23" s="21">
        <f t="shared" si="1"/>
        <v>12363.612000000001</v>
      </c>
      <c r="G23" s="21">
        <f t="shared" si="1"/>
        <v>12487.248120000002</v>
      </c>
      <c r="H23" s="21">
        <f t="shared" si="1"/>
        <v>12612.120601200002</v>
      </c>
      <c r="I23" s="21">
        <f t="shared" si="1"/>
        <v>12738.241807212002</v>
      </c>
      <c r="J23" s="21">
        <f t="shared" si="1"/>
        <v>12865.624225284122</v>
      </c>
      <c r="K23" s="21">
        <f t="shared" si="1"/>
        <v>12994.280467536963</v>
      </c>
      <c r="L23" s="21">
        <f t="shared" si="1"/>
        <v>13124.223272212332</v>
      </c>
      <c r="M23" s="21"/>
      <c r="N23" s="21"/>
      <c r="O23" s="21"/>
      <c r="P23" s="21"/>
    </row>
    <row r="24" spans="2:16" x14ac:dyDescent="0.2">
      <c r="B24" t="s">
        <v>83</v>
      </c>
      <c r="C24" s="21">
        <f>C23*0.02</f>
        <v>240</v>
      </c>
      <c r="D24" s="21">
        <f t="shared" ref="D24:P24" si="2">D23*0.02</f>
        <v>242.4</v>
      </c>
      <c r="E24" s="21">
        <f t="shared" si="2"/>
        <v>244.82400000000001</v>
      </c>
      <c r="F24" s="21">
        <f t="shared" si="2"/>
        <v>247.27224000000004</v>
      </c>
      <c r="G24" s="21">
        <f t="shared" si="2"/>
        <v>249.74496240000005</v>
      </c>
      <c r="H24" s="21">
        <f t="shared" si="2"/>
        <v>252.24241202400006</v>
      </c>
      <c r="I24" s="21">
        <f t="shared" si="2"/>
        <v>254.76483614424004</v>
      </c>
      <c r="J24" s="21">
        <f t="shared" si="2"/>
        <v>257.31248450568245</v>
      </c>
      <c r="K24" s="21">
        <f t="shared" si="2"/>
        <v>259.88560935073923</v>
      </c>
      <c r="L24" s="21">
        <f t="shared" si="2"/>
        <v>262.48446544424667</v>
      </c>
      <c r="M24" s="21"/>
      <c r="N24" s="21"/>
      <c r="O24" s="21"/>
      <c r="P24" s="21"/>
    </row>
    <row r="25" spans="2:16" x14ac:dyDescent="0.2">
      <c r="B25" t="s">
        <v>0</v>
      </c>
      <c r="C25" s="21">
        <v>3200000</v>
      </c>
      <c r="D25" s="21">
        <v>3200000</v>
      </c>
      <c r="E25" s="21">
        <v>3200000</v>
      </c>
      <c r="F25" s="21">
        <v>3200000</v>
      </c>
      <c r="G25" s="21">
        <v>3200000</v>
      </c>
      <c r="H25" s="21">
        <v>3200000</v>
      </c>
      <c r="I25" s="21">
        <v>3200000</v>
      </c>
      <c r="J25" s="21">
        <v>3200000</v>
      </c>
      <c r="K25" s="21">
        <v>3200000</v>
      </c>
      <c r="L25" s="21">
        <v>3200000</v>
      </c>
      <c r="M25" s="21"/>
      <c r="N25" s="21"/>
      <c r="O25" s="21"/>
      <c r="P25" s="21"/>
    </row>
    <row r="26" spans="2:16" x14ac:dyDescent="0.2">
      <c r="B26" t="s">
        <v>28</v>
      </c>
      <c r="C26" s="21">
        <f>C25*C24/1000000</f>
        <v>768</v>
      </c>
      <c r="D26" s="21">
        <f t="shared" ref="D26:P26" si="3">D25*D24/1000000</f>
        <v>775.68</v>
      </c>
      <c r="E26" s="21">
        <f t="shared" si="3"/>
        <v>783.43679999999995</v>
      </c>
      <c r="F26" s="21">
        <f t="shared" si="3"/>
        <v>791.2711680000001</v>
      </c>
      <c r="G26" s="21">
        <f t="shared" si="3"/>
        <v>799.18387968000013</v>
      </c>
      <c r="H26" s="21">
        <f t="shared" si="3"/>
        <v>807.17571847680017</v>
      </c>
      <c r="I26" s="21">
        <f t="shared" si="3"/>
        <v>815.24747566156816</v>
      </c>
      <c r="J26" s="21">
        <f t="shared" si="3"/>
        <v>823.39995041818383</v>
      </c>
      <c r="K26" s="21">
        <f t="shared" si="3"/>
        <v>831.63394992236556</v>
      </c>
      <c r="L26" s="21">
        <f t="shared" si="3"/>
        <v>839.95028942158933</v>
      </c>
      <c r="M26" s="21"/>
      <c r="N26" s="21"/>
      <c r="O26" s="21"/>
      <c r="P26" s="21"/>
    </row>
    <row r="28" spans="2:16" x14ac:dyDescent="0.2">
      <c r="B28" t="s">
        <v>55</v>
      </c>
      <c r="C28" s="26">
        <v>0.08</v>
      </c>
    </row>
    <row r="29" spans="2:16" x14ac:dyDescent="0.2">
      <c r="B29" t="s">
        <v>56</v>
      </c>
      <c r="C29" s="30">
        <f>NPV(C28,C26:XFD26)</f>
        <v>5357.8557225903514</v>
      </c>
    </row>
  </sheetData>
  <hyperlinks>
    <hyperlink ref="A1" location="Main!A1" display="Main" xr:uid="{F4D7F899-E715-4F27-9DC1-97C1D48204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IP</vt:lpstr>
      <vt:lpstr>Literature</vt:lpstr>
      <vt:lpstr>elevidys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2025-07-20T23:50:07Z</dcterms:created>
  <dcterms:modified xsi:type="dcterms:W3CDTF">2025-08-02T07:36:36Z</dcterms:modified>
</cp:coreProperties>
</file>