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4742BC00-9A00-4046-AD48-AB2BCB7E4047}" xr6:coauthVersionLast="47" xr6:coauthVersionMax="47" xr10:uidLastSave="{00000000-0000-0000-0000-000000000000}"/>
  <bookViews>
    <workbookView xWindow="1260" yWindow="1080" windowWidth="22335" windowHeight="13875" xr2:uid="{3429F372-D7C1-4064-99DD-3C34B787F131}"/>
  </bookViews>
  <sheets>
    <sheet name="Main" sheetId="1" r:id="rId1"/>
    <sheet name="Drugs" sheetId="6" r:id="rId2"/>
    <sheet name="Todo" sheetId="3" r:id="rId3"/>
    <sheet name="Private" sheetId="5" r:id="rId4"/>
    <sheet name="Funds" sheetId="2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3" i="1" l="1"/>
  <c r="Q111" i="1"/>
  <c r="P111" i="1"/>
  <c r="O111" i="1"/>
  <c r="M111" i="1"/>
  <c r="N111" i="1" s="1"/>
  <c r="L111" i="1"/>
  <c r="H111" i="1" s="1"/>
  <c r="J111" i="1"/>
  <c r="I111" i="1"/>
  <c r="M112" i="1" l="1"/>
  <c r="L112" i="1"/>
  <c r="H112" i="1" s="1"/>
  <c r="J112" i="1"/>
  <c r="I112" i="1"/>
  <c r="N112" i="1" l="1"/>
  <c r="Q110" i="1"/>
  <c r="P110" i="1"/>
  <c r="O110" i="1"/>
  <c r="M110" i="1"/>
  <c r="L110" i="1"/>
  <c r="J110" i="1"/>
  <c r="I110" i="1"/>
  <c r="H110" i="1"/>
  <c r="N110" i="1" l="1"/>
  <c r="Q15" i="1"/>
  <c r="P15" i="1"/>
  <c r="O15" i="1"/>
  <c r="M15" i="1"/>
  <c r="L15" i="1"/>
  <c r="J15" i="1"/>
  <c r="I15" i="1"/>
  <c r="N15" i="1" l="1"/>
  <c r="Q18" i="1"/>
  <c r="P18" i="1"/>
  <c r="O18" i="1"/>
  <c r="M18" i="1"/>
  <c r="L18" i="1"/>
  <c r="J18" i="1"/>
  <c r="I18" i="1"/>
  <c r="N18" i="1" l="1"/>
  <c r="Q4" i="1"/>
  <c r="P4" i="1"/>
  <c r="O4" i="1"/>
  <c r="M4" i="1"/>
  <c r="L4" i="1"/>
  <c r="J4" i="1"/>
  <c r="I4" i="1"/>
  <c r="N4" i="1" l="1"/>
  <c r="Q6" i="1"/>
  <c r="P6" i="1"/>
  <c r="O6" i="1"/>
  <c r="M6" i="1"/>
  <c r="L6" i="1"/>
  <c r="J6" i="1"/>
  <c r="I6" i="1"/>
  <c r="H6" i="1"/>
  <c r="N6" i="1" l="1"/>
  <c r="Q11" i="1"/>
  <c r="P11" i="1"/>
  <c r="O11" i="1"/>
  <c r="M11" i="1"/>
  <c r="L11" i="1"/>
  <c r="J11" i="1"/>
  <c r="I11" i="1"/>
  <c r="N11" i="1" l="1"/>
  <c r="H18" i="1"/>
  <c r="H15" i="1"/>
  <c r="H11" i="1"/>
  <c r="H4" i="1" l="1"/>
  <c r="N2" i="1" l="1"/>
  <c r="H2" i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l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l="1"/>
  <c r="D125" i="1" s="1"/>
  <c r="D126" i="1" s="1"/>
  <c r="D127" i="1" s="1"/>
  <c r="D128" i="1" s="1"/>
  <c r="D129" i="1" s="1"/>
  <c r="D130" i="1" s="1"/>
  <c r="D131" i="1" s="1"/>
  <c r="D2" i="1"/>
</calcChain>
</file>

<file path=xl/sharedStrings.xml><?xml version="1.0" encoding="utf-8"?>
<sst xmlns="http://schemas.openxmlformats.org/spreadsheetml/2006/main" count="257" uniqueCount="248">
  <si>
    <t>R</t>
  </si>
  <si>
    <t>C</t>
  </si>
  <si>
    <t>Name</t>
  </si>
  <si>
    <t>Ticker</t>
  </si>
  <si>
    <t>Price</t>
  </si>
  <si>
    <t>MC</t>
  </si>
  <si>
    <t>NC</t>
  </si>
  <si>
    <t>EV</t>
  </si>
  <si>
    <t>Update</t>
  </si>
  <si>
    <t>SO</t>
  </si>
  <si>
    <t>NPV</t>
  </si>
  <si>
    <t>Upside</t>
  </si>
  <si>
    <t>ROIC</t>
  </si>
  <si>
    <t>Terminal</t>
  </si>
  <si>
    <t>Discount</t>
  </si>
  <si>
    <t>Founded</t>
  </si>
  <si>
    <t>Eli Lilly</t>
  </si>
  <si>
    <t>LLY</t>
  </si>
  <si>
    <t>Main</t>
  </si>
  <si>
    <t>Brand</t>
  </si>
  <si>
    <t>Generic</t>
  </si>
  <si>
    <t>DBID</t>
  </si>
  <si>
    <t>Target</t>
  </si>
  <si>
    <t>MOA</t>
  </si>
  <si>
    <t>MW</t>
  </si>
  <si>
    <t>FDA</t>
  </si>
  <si>
    <t>Class</t>
  </si>
  <si>
    <t>AA</t>
  </si>
  <si>
    <t>Johnson &amp; Johnson</t>
  </si>
  <si>
    <t>AbbVie</t>
  </si>
  <si>
    <t>Novo Nordisk</t>
  </si>
  <si>
    <t>Roche</t>
  </si>
  <si>
    <t>Novartis</t>
  </si>
  <si>
    <t>AstraZeneca</t>
  </si>
  <si>
    <t>Merck</t>
  </si>
  <si>
    <t>Amgen</t>
  </si>
  <si>
    <t>Pfizer</t>
  </si>
  <si>
    <t>Sanofi</t>
  </si>
  <si>
    <t>Bristol-Myers Squibb</t>
  </si>
  <si>
    <t>CSL</t>
  </si>
  <si>
    <t>GlaxoSmithKline</t>
  </si>
  <si>
    <t>Zoetis</t>
  </si>
  <si>
    <t>Regeneron</t>
  </si>
  <si>
    <t>Chugai</t>
  </si>
  <si>
    <t>Vertex</t>
  </si>
  <si>
    <t>Gilead</t>
  </si>
  <si>
    <t>Thermo Fisher</t>
  </si>
  <si>
    <t>Samsung Biologics</t>
  </si>
  <si>
    <t>Jiangsu Hengrui Medicine</t>
  </si>
  <si>
    <t>Lonza</t>
  </si>
  <si>
    <t>Sun Pharmaceutical</t>
  </si>
  <si>
    <t>Takeda</t>
  </si>
  <si>
    <t>Daiichi Sankyo</t>
  </si>
  <si>
    <t>Alnylam Pharamceuticals</t>
  </si>
  <si>
    <t>UCB</t>
  </si>
  <si>
    <t>Galderma Group</t>
  </si>
  <si>
    <t>Argenx</t>
  </si>
  <si>
    <t>DexCom</t>
  </si>
  <si>
    <t>BeOne Medicines</t>
  </si>
  <si>
    <t>Novozymes</t>
  </si>
  <si>
    <t>Bayer</t>
  </si>
  <si>
    <t>Celltrion</t>
  </si>
  <si>
    <t>Sandoz Group</t>
  </si>
  <si>
    <t>Hansoh Pharma</t>
  </si>
  <si>
    <t>Otsuka Holdings</t>
  </si>
  <si>
    <t>LabCorp</t>
  </si>
  <si>
    <t>Divis Laboratories</t>
  </si>
  <si>
    <t>Royalty Pharma</t>
  </si>
  <si>
    <t>Summit Therapeutics</t>
  </si>
  <si>
    <t>Insmed</t>
  </si>
  <si>
    <t>Innovent Biologics</t>
  </si>
  <si>
    <t>Biogen</t>
  </si>
  <si>
    <t>Astellas Pharma</t>
  </si>
  <si>
    <t>Alteogen</t>
  </si>
  <si>
    <t>bioMerieux</t>
  </si>
  <si>
    <t>Sichuan Biokin</t>
  </si>
  <si>
    <t>Teva</t>
  </si>
  <si>
    <t>Illumina</t>
  </si>
  <si>
    <t>Akeso</t>
  </si>
  <si>
    <t>WuXi Biologics</t>
  </si>
  <si>
    <t>ICON plc</t>
  </si>
  <si>
    <t>Shionogi</t>
  </si>
  <si>
    <t>Baxter</t>
  </si>
  <si>
    <t>Genmab</t>
  </si>
  <si>
    <t>Cipla</t>
  </si>
  <si>
    <t>Torrent Pharmaceuticals</t>
  </si>
  <si>
    <t>United Therapeutics</t>
  </si>
  <si>
    <t>Incyte</t>
  </si>
  <si>
    <t>Moderna</t>
  </si>
  <si>
    <t>Recordati</t>
  </si>
  <si>
    <t>Neurocrine Biosciences</t>
  </si>
  <si>
    <t>Medpace</t>
  </si>
  <si>
    <t>CSPC Pharmaceutical</t>
  </si>
  <si>
    <t>Dr Reddy's Laboratories</t>
  </si>
  <si>
    <t>Exelixis</t>
  </si>
  <si>
    <t>Mankind Pharma</t>
  </si>
  <si>
    <t>Revvity</t>
  </si>
  <si>
    <t>Zydus Lifesciences</t>
  </si>
  <si>
    <t>BioMarin</t>
  </si>
  <si>
    <t>ProKidney</t>
  </si>
  <si>
    <t>Qiagen</t>
  </si>
  <si>
    <t>Viatris</t>
  </si>
  <si>
    <t>Ipsen</t>
  </si>
  <si>
    <t>Lupin Limited</t>
  </si>
  <si>
    <t>Huadong Medicine</t>
  </si>
  <si>
    <t>Orion Corporation</t>
  </si>
  <si>
    <t>Swedish Orphan Biovitrum</t>
  </si>
  <si>
    <t>AMGN</t>
  </si>
  <si>
    <t>GILD</t>
  </si>
  <si>
    <t>BIIB</t>
  </si>
  <si>
    <t>MRNA</t>
  </si>
  <si>
    <t>REGN</t>
  </si>
  <si>
    <t>VRTX</t>
  </si>
  <si>
    <t>ILMN</t>
  </si>
  <si>
    <t>CRSP</t>
  </si>
  <si>
    <t>JNJ</t>
  </si>
  <si>
    <t>ABBV</t>
  </si>
  <si>
    <t>NVO</t>
  </si>
  <si>
    <t>ROG.SW</t>
  </si>
  <si>
    <t>NVS</t>
  </si>
  <si>
    <t>AZN</t>
  </si>
  <si>
    <t>MRK</t>
  </si>
  <si>
    <t>TMO</t>
  </si>
  <si>
    <t>PFE</t>
  </si>
  <si>
    <t>SNY</t>
  </si>
  <si>
    <t>BMY</t>
  </si>
  <si>
    <t>CSL.AX</t>
  </si>
  <si>
    <t>4519.T</t>
  </si>
  <si>
    <t>GSK</t>
  </si>
  <si>
    <t>ZTS</t>
  </si>
  <si>
    <t>207940.KS</t>
  </si>
  <si>
    <t>600276.SS</t>
  </si>
  <si>
    <t>LONN.SW</t>
  </si>
  <si>
    <t>SUNPHARMA.NS</t>
  </si>
  <si>
    <t>TAK</t>
  </si>
  <si>
    <t>4568.T</t>
  </si>
  <si>
    <t>UCB.VI</t>
  </si>
  <si>
    <t>GALD.SW</t>
  </si>
  <si>
    <t>ARGX</t>
  </si>
  <si>
    <t>DXCM</t>
  </si>
  <si>
    <t>ONC</t>
  </si>
  <si>
    <t>ALNY</t>
  </si>
  <si>
    <t>NZYM.VI</t>
  </si>
  <si>
    <t>BAYN.DE</t>
  </si>
  <si>
    <t>068270.KS</t>
  </si>
  <si>
    <t>BNTX</t>
  </si>
  <si>
    <t>SDZ.SW</t>
  </si>
  <si>
    <t>BioNTech</t>
  </si>
  <si>
    <t>3692.HK</t>
  </si>
  <si>
    <t>4578.T</t>
  </si>
  <si>
    <t>LH</t>
  </si>
  <si>
    <t>DIVISLAB.NS</t>
  </si>
  <si>
    <t>RPRX</t>
  </si>
  <si>
    <t>SMMT</t>
  </si>
  <si>
    <t>INSM</t>
  </si>
  <si>
    <t>1801.HK</t>
  </si>
  <si>
    <t>TEVA</t>
  </si>
  <si>
    <t>4503.T</t>
  </si>
  <si>
    <t>196170.KQ</t>
  </si>
  <si>
    <t>BIM.PA</t>
  </si>
  <si>
    <t>688506.SS</t>
  </si>
  <si>
    <t>9926.HK</t>
  </si>
  <si>
    <t>WXXWY</t>
  </si>
  <si>
    <t>ICLR</t>
  </si>
  <si>
    <t>4507.T</t>
  </si>
  <si>
    <t>BAX</t>
  </si>
  <si>
    <t>GMAB</t>
  </si>
  <si>
    <t>CIPLA.NS</t>
  </si>
  <si>
    <t>TORNTPHARM.NS</t>
  </si>
  <si>
    <t>UTHR</t>
  </si>
  <si>
    <t>INCY</t>
  </si>
  <si>
    <t>REC.MI</t>
  </si>
  <si>
    <t>NBIX</t>
  </si>
  <si>
    <t>MEDP</t>
  </si>
  <si>
    <t>1093.HK</t>
  </si>
  <si>
    <t>RDY</t>
  </si>
  <si>
    <t>EXEL</t>
  </si>
  <si>
    <t>MANKIND.NS</t>
  </si>
  <si>
    <t>RVTY</t>
  </si>
  <si>
    <t>ZYDUSLIFE.NS</t>
  </si>
  <si>
    <t>BMRN</t>
  </si>
  <si>
    <t>PROK</t>
  </si>
  <si>
    <t>QGEN</t>
  </si>
  <si>
    <t>VTRS</t>
  </si>
  <si>
    <t>IPN.PA</t>
  </si>
  <si>
    <t>LUPIN.NS</t>
  </si>
  <si>
    <t>ORNAV.HE</t>
  </si>
  <si>
    <t>000963.SZ</t>
  </si>
  <si>
    <t>SOBI.ST</t>
  </si>
  <si>
    <t>CSPC Innovation</t>
  </si>
  <si>
    <t>300765.SZ</t>
  </si>
  <si>
    <t>Ascendis Pharma</t>
  </si>
  <si>
    <t>ASND</t>
  </si>
  <si>
    <t>EXAS</t>
  </si>
  <si>
    <t>Exact Sciences</t>
  </si>
  <si>
    <t>Fosun Pharma</t>
  </si>
  <si>
    <t>Bio-Teche</t>
  </si>
  <si>
    <t>kyowa Kirin</t>
  </si>
  <si>
    <t>Verona Pharma</t>
  </si>
  <si>
    <t>Charles River Laboratories</t>
  </si>
  <si>
    <t>Grifols</t>
  </si>
  <si>
    <t>BridgeBio Pharma</t>
  </si>
  <si>
    <t>Blueprint Medicines</t>
  </si>
  <si>
    <t>Abbott India</t>
  </si>
  <si>
    <t>Caris Life Sciences</t>
  </si>
  <si>
    <t>Legend Biotech</t>
  </si>
  <si>
    <t>Zhifei Biological Products</t>
  </si>
  <si>
    <t>Eisai</t>
  </si>
  <si>
    <t>Roivant Sciences</t>
  </si>
  <si>
    <t>Jazz Pharmaceuticals</t>
  </si>
  <si>
    <t>Corcept Therapeutics</t>
  </si>
  <si>
    <t>Halozyme Therapeutics</t>
  </si>
  <si>
    <t>Elanco</t>
  </si>
  <si>
    <t>Repligen</t>
  </si>
  <si>
    <t>Ionis Pharmaceuticals</t>
  </si>
  <si>
    <t>TG Therapeutics</t>
  </si>
  <si>
    <t>CRISPR</t>
  </si>
  <si>
    <t>TGTX</t>
  </si>
  <si>
    <t>IONS</t>
  </si>
  <si>
    <t>RGEN</t>
  </si>
  <si>
    <t>HALO</t>
  </si>
  <si>
    <t>JAZZ</t>
  </si>
  <si>
    <t>CORT</t>
  </si>
  <si>
    <t>ELAN</t>
  </si>
  <si>
    <t>ROIV</t>
  </si>
  <si>
    <t>300122.SZ</t>
  </si>
  <si>
    <t>4523.T</t>
  </si>
  <si>
    <t>600196.SS</t>
  </si>
  <si>
    <t>TECH</t>
  </si>
  <si>
    <t>4151.T</t>
  </si>
  <si>
    <t>VRNA</t>
  </si>
  <si>
    <t>CRL</t>
  </si>
  <si>
    <t>GRFS</t>
  </si>
  <si>
    <t>BBIO</t>
  </si>
  <si>
    <t>BPMC</t>
  </si>
  <si>
    <t>ABBOTINDIA.NS</t>
  </si>
  <si>
    <t>CAI</t>
  </si>
  <si>
    <t>LEGN</t>
  </si>
  <si>
    <t>AVXL</t>
  </si>
  <si>
    <t>Anavex Life Sciences</t>
  </si>
  <si>
    <t>Sarepta Therapeutics</t>
  </si>
  <si>
    <t>SRPT</t>
  </si>
  <si>
    <t>Q125</t>
  </si>
  <si>
    <t>CRDF</t>
  </si>
  <si>
    <t>Cardiff Oncology</t>
  </si>
  <si>
    <t>Q225</t>
  </si>
  <si>
    <t>ABVX</t>
  </si>
  <si>
    <t>Abivax 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</si>
</sst>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3" fontId="0" fillId="0" borderId="0" xfId="0" applyNumberFormat="1"/>
    <xf numFmtId="9" fontId="0" fillId="0" borderId="0" xfId="0" applyNumberFormat="1"/>
    <xf numFmtId="4" fontId="0" fillId="0" borderId="0" xfId="0" applyNumberFormat="1"/>
    <xf numFmtId="0" fontId="1" fillId="0" borderId="0" xfId="1" applyFill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LLY.xlsx" TargetMode="External"/><Relationship Id="rId1" Type="http://schemas.openxmlformats.org/officeDocument/2006/relationships/externalLinkPath" Target="LLY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BBV.xlsx" TargetMode="External"/><Relationship Id="rId1" Type="http://schemas.openxmlformats.org/officeDocument/2006/relationships/externalLinkPath" Target="ABBV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MRK.xlsx" TargetMode="External"/><Relationship Id="rId1" Type="http://schemas.openxmlformats.org/officeDocument/2006/relationships/externalLinkPath" Target="MRK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GILD.xlsx" TargetMode="External"/><Relationship Id="rId1" Type="http://schemas.openxmlformats.org/officeDocument/2006/relationships/externalLinkPath" Target="GILD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BMY.xlsx" TargetMode="External"/><Relationship Id="rId1" Type="http://schemas.openxmlformats.org/officeDocument/2006/relationships/externalLinkPath" Target="BMY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AVXL.xlsx" TargetMode="External"/><Relationship Id="rId1" Type="http://schemas.openxmlformats.org/officeDocument/2006/relationships/externalLinkPath" Target="AVXL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SRPT.xlsx" TargetMode="External"/><Relationship Id="rId1" Type="http://schemas.openxmlformats.org/officeDocument/2006/relationships/externalLinkPath" Target="SRPT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7sher\OneDrive\Desktop\models\CRDF.xlsx" TargetMode="External"/><Relationship Id="rId1" Type="http://schemas.openxmlformats.org/officeDocument/2006/relationships/externalLinkPath" Target="CRD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Trials"/>
      <sheetName val="GLP-1s"/>
      <sheetName val="Mounjaro-Zepbound"/>
      <sheetName val="Trulicity"/>
      <sheetName val="Kisunla"/>
      <sheetName val="orforglipron"/>
      <sheetName val="retratrutide"/>
      <sheetName val="imlunestrant"/>
      <sheetName val="lebrikizumab"/>
      <sheetName val="lepodisiran"/>
      <sheetName val="mirikizumab"/>
      <sheetName val="olomorasib"/>
    </sheetNames>
    <sheetDataSet>
      <sheetData sheetId="0">
        <row r="4">
          <cell r="K4">
            <v>947.73500000000001</v>
          </cell>
        </row>
        <row r="6">
          <cell r="K6">
            <v>3220</v>
          </cell>
        </row>
        <row r="7">
          <cell r="K7">
            <v>38515</v>
          </cell>
        </row>
        <row r="8">
          <cell r="K8">
            <v>803908.08499999996</v>
          </cell>
        </row>
      </sheetData>
      <sheetData sheetId="1">
        <row r="29">
          <cell r="AD29">
            <v>0.02</v>
          </cell>
        </row>
        <row r="30">
          <cell r="AD30">
            <v>-0.01</v>
          </cell>
        </row>
        <row r="31">
          <cell r="AD31">
            <v>7.0000000000000007E-2</v>
          </cell>
        </row>
        <row r="32">
          <cell r="AD32">
            <v>746543.52415987698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rinvoq"/>
      <sheetName val="skyrizi"/>
      <sheetName val="ubrelvy"/>
      <sheetName val="quilipta"/>
      <sheetName val="vraylar"/>
      <sheetName val="epkinly"/>
      <sheetName val="elahere"/>
      <sheetName val="venclexta"/>
      <sheetName val="ABBV-113"/>
      <sheetName val="temab-a"/>
      <sheetName val="etentamig"/>
      <sheetName val="tavapadon"/>
    </sheetNames>
    <sheetDataSet>
      <sheetData sheetId="0">
        <row r="3">
          <cell r="K3">
            <v>1766.4</v>
          </cell>
        </row>
        <row r="5">
          <cell r="K5">
            <v>5176</v>
          </cell>
        </row>
        <row r="6">
          <cell r="K6">
            <v>72471</v>
          </cell>
        </row>
        <row r="7">
          <cell r="K7">
            <v>411743</v>
          </cell>
        </row>
      </sheetData>
      <sheetData sheetId="1">
        <row r="38">
          <cell r="AC38">
            <v>0.02</v>
          </cell>
        </row>
        <row r="39">
          <cell r="AC39">
            <v>-0.01</v>
          </cell>
        </row>
        <row r="40">
          <cell r="AC40">
            <v>7.0000000000000007E-2</v>
          </cell>
        </row>
        <row r="41">
          <cell r="AC41">
            <v>416521.27804997418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P3">
            <v>2511.0309999999999</v>
          </cell>
        </row>
        <row r="5">
          <cell r="P5">
            <v>9228</v>
          </cell>
        </row>
        <row r="6">
          <cell r="P6">
            <v>41548</v>
          </cell>
        </row>
        <row r="7">
          <cell r="P7">
            <v>235713.511</v>
          </cell>
        </row>
      </sheetData>
      <sheetData sheetId="1">
        <row r="39">
          <cell r="AA39">
            <v>0.02</v>
          </cell>
        </row>
        <row r="40">
          <cell r="AA40">
            <v>-0.01</v>
          </cell>
        </row>
        <row r="41">
          <cell r="AA41">
            <v>0.08</v>
          </cell>
        </row>
        <row r="42">
          <cell r="AA42">
            <v>275409.72230189055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M3">
            <v>1243.9290000000001</v>
          </cell>
        </row>
        <row r="5">
          <cell r="M5">
            <v>7926</v>
          </cell>
        </row>
        <row r="6">
          <cell r="M6">
            <v>25011</v>
          </cell>
        </row>
        <row r="7">
          <cell r="M7">
            <v>157648.97700000001</v>
          </cell>
        </row>
      </sheetData>
      <sheetData sheetId="1">
        <row r="89">
          <cell r="AA89">
            <v>0.02</v>
          </cell>
        </row>
        <row r="90">
          <cell r="AA90">
            <v>-0.01</v>
          </cell>
        </row>
        <row r="91">
          <cell r="AA91">
            <v>8.5000000000000006E-2</v>
          </cell>
        </row>
        <row r="92">
          <cell r="AA92">
            <v>150356.31716833118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olcadomide"/>
      <sheetName val="BMS-986365"/>
      <sheetName val="iberdomide"/>
      <sheetName val="obexlimab"/>
      <sheetName val="milvexian"/>
      <sheetName val="admilparant"/>
      <sheetName val="Matrix"/>
    </sheetNames>
    <sheetDataSet>
      <sheetData sheetId="0">
        <row r="3">
          <cell r="L3">
            <v>2035.08</v>
          </cell>
        </row>
        <row r="5">
          <cell r="L5">
            <v>11782</v>
          </cell>
        </row>
        <row r="6">
          <cell r="L6">
            <v>50910</v>
          </cell>
        </row>
        <row r="7">
          <cell r="L7">
            <v>128671.51999999999</v>
          </cell>
        </row>
      </sheetData>
      <sheetData sheetId="1">
        <row r="45">
          <cell r="Y45">
            <v>0.02</v>
          </cell>
        </row>
        <row r="46">
          <cell r="Y46">
            <v>-0.01</v>
          </cell>
        </row>
        <row r="47">
          <cell r="Y47">
            <v>0.08</v>
          </cell>
        </row>
        <row r="48">
          <cell r="Y48">
            <v>104952.78625217403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Literature"/>
      <sheetName val="IP"/>
      <sheetName val="SIGMAR1"/>
      <sheetName val="blarcamesine"/>
      <sheetName val="ANAVEX2-73-AD-004"/>
      <sheetName val="ATTENTION-AD"/>
      <sheetName val="Supplemental"/>
    </sheetNames>
    <sheetDataSet>
      <sheetData sheetId="0">
        <row r="3">
          <cell r="K3">
            <v>85.372</v>
          </cell>
        </row>
        <row r="5">
          <cell r="K5">
            <v>115.771</v>
          </cell>
        </row>
        <row r="6">
          <cell r="K6">
            <v>0</v>
          </cell>
        </row>
        <row r="7">
          <cell r="K7">
            <v>1028.2138</v>
          </cell>
        </row>
        <row r="11">
          <cell r="K11">
            <v>95.771000000000001</v>
          </cell>
        </row>
      </sheetData>
      <sheetData sheetId="1">
        <row r="6">
          <cell r="R6">
            <v>0.02</v>
          </cell>
        </row>
        <row r="7">
          <cell r="R7">
            <v>-0.01</v>
          </cell>
        </row>
        <row r="8">
          <cell r="R8">
            <v>0.09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IP"/>
      <sheetName val="Literature"/>
      <sheetName val="elevidys"/>
    </sheetNames>
    <sheetDataSet>
      <sheetData sheetId="0">
        <row r="3">
          <cell r="K3">
            <v>98.277000000000001</v>
          </cell>
        </row>
        <row r="5">
          <cell r="K5">
            <v>522.70000000000005</v>
          </cell>
        </row>
        <row r="6">
          <cell r="K6">
            <v>1717.16</v>
          </cell>
        </row>
        <row r="7">
          <cell r="K7">
            <v>2766.8919999999998</v>
          </cell>
        </row>
      </sheetData>
      <sheetData sheetId="1">
        <row r="15">
          <cell r="X15">
            <v>0.02</v>
          </cell>
        </row>
        <row r="16">
          <cell r="X16">
            <v>-0.01</v>
          </cell>
        </row>
        <row r="17">
          <cell r="X17">
            <v>0.08</v>
          </cell>
        </row>
        <row r="18">
          <cell r="X18">
            <v>8323.8042332358727</v>
          </cell>
        </row>
      </sheetData>
      <sheetData sheetId="2"/>
      <sheetData sheetId="3"/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PLK1"/>
      <sheetName val="Literature"/>
      <sheetName val="onvansertib"/>
      <sheetName val="competitors"/>
      <sheetName val="CRDF-004"/>
    </sheetNames>
    <sheetDataSet>
      <sheetData sheetId="0">
        <row r="4">
          <cell r="K4">
            <v>66.525999999999996</v>
          </cell>
        </row>
        <row r="6">
          <cell r="K6">
            <v>70</v>
          </cell>
        </row>
        <row r="7">
          <cell r="K7">
            <v>0</v>
          </cell>
        </row>
        <row r="8">
          <cell r="K8">
            <v>76.357200000000006</v>
          </cell>
        </row>
        <row r="9">
          <cell r="N9">
            <v>40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SRPT.xlsx" TargetMode="External"/><Relationship Id="rId3" Type="http://schemas.openxmlformats.org/officeDocument/2006/relationships/hyperlink" Target="ABBV.xlsx" TargetMode="External"/><Relationship Id="rId7" Type="http://schemas.openxmlformats.org/officeDocument/2006/relationships/hyperlink" Target="AVXL.xlsx" TargetMode="External"/><Relationship Id="rId2" Type="http://schemas.openxmlformats.org/officeDocument/2006/relationships/hyperlink" Target="CRDF.xlsx" TargetMode="External"/><Relationship Id="rId1" Type="http://schemas.openxmlformats.org/officeDocument/2006/relationships/hyperlink" Target="LLY.xlsx" TargetMode="External"/><Relationship Id="rId6" Type="http://schemas.openxmlformats.org/officeDocument/2006/relationships/hyperlink" Target="GILD.xlsx" TargetMode="External"/><Relationship Id="rId5" Type="http://schemas.openxmlformats.org/officeDocument/2006/relationships/hyperlink" Target="MRK.xlsx" TargetMode="External"/><Relationship Id="rId4" Type="http://schemas.openxmlformats.org/officeDocument/2006/relationships/hyperlink" Target="BMY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A3935-C65F-4820-824F-2092D9DD7675}">
  <dimension ref="B1:R131"/>
  <sheetViews>
    <sheetView tabSelected="1" zoomScale="145" zoomScaleNormal="145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M11" sqref="M11"/>
    </sheetView>
  </sheetViews>
  <sheetFormatPr defaultRowHeight="12.75" x14ac:dyDescent="0.2"/>
  <cols>
    <col min="1" max="2" width="2.42578125" customWidth="1"/>
    <col min="3" max="3" width="2.28515625" customWidth="1"/>
    <col min="4" max="4" width="4.140625" bestFit="1" customWidth="1"/>
    <col min="5" max="5" width="22.5703125" bestFit="1" customWidth="1"/>
    <col min="6" max="6" width="9.28515625" customWidth="1"/>
    <col min="8" max="8" width="10.140625" style="2" customWidth="1"/>
  </cols>
  <sheetData>
    <row r="1" spans="2:18" x14ac:dyDescent="0.2">
      <c r="H1"/>
    </row>
    <row r="2" spans="2:18" x14ac:dyDescent="0.2">
      <c r="D2">
        <f ca="1">RANDBETWEEN(1,D123)</f>
        <v>113</v>
      </c>
      <c r="H2" s="2">
        <f>SUM(H4:H1048576)</f>
        <v>1497775.9716</v>
      </c>
      <c r="N2" s="3">
        <f>AVERAGE(N4:N1048576)</f>
        <v>0.44251801320658019</v>
      </c>
    </row>
    <row r="3" spans="2:18" x14ac:dyDescent="0.2">
      <c r="B3" t="s">
        <v>0</v>
      </c>
      <c r="C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</row>
    <row r="4" spans="2:18" x14ac:dyDescent="0.2">
      <c r="D4">
        <v>1</v>
      </c>
      <c r="E4" s="1" t="s">
        <v>16</v>
      </c>
      <c r="F4" t="s">
        <v>17</v>
      </c>
      <c r="G4" s="4">
        <v>762</v>
      </c>
      <c r="H4" s="2">
        <f>G4*L4</f>
        <v>722174.07000000007</v>
      </c>
      <c r="I4" s="2">
        <f>[1]Main!$K$6-[1]Main!$K$7</f>
        <v>-35295</v>
      </c>
      <c r="J4" s="2">
        <f>[1]Main!$K$8</f>
        <v>803908.08499999996</v>
      </c>
      <c r="K4" t="s">
        <v>242</v>
      </c>
      <c r="L4" s="2">
        <f>[1]Main!$K$4</f>
        <v>947.73500000000001</v>
      </c>
      <c r="M4" s="2">
        <f>[1]Model!$AD$32</f>
        <v>746543.52415987698</v>
      </c>
      <c r="N4" s="3">
        <f>(M4/L4)/G4-1</f>
        <v>3.3744570972863874E-2</v>
      </c>
      <c r="O4" s="3">
        <f>[1]Model!$AD$29</f>
        <v>0.02</v>
      </c>
      <c r="P4" s="3">
        <f>[1]Model!$AD$30</f>
        <v>-0.01</v>
      </c>
      <c r="Q4" s="3">
        <f>[1]Model!$AD$31</f>
        <v>7.0000000000000007E-2</v>
      </c>
    </row>
    <row r="5" spans="2:18" x14ac:dyDescent="0.2">
      <c r="D5">
        <f>D4+1</f>
        <v>2</v>
      </c>
      <c r="E5" t="s">
        <v>28</v>
      </c>
      <c r="F5" t="s">
        <v>115</v>
      </c>
    </row>
    <row r="6" spans="2:18" x14ac:dyDescent="0.2">
      <c r="D6">
        <f t="shared" ref="D6:D70" si="0">D5+1</f>
        <v>3</v>
      </c>
      <c r="E6" s="1" t="s">
        <v>29</v>
      </c>
      <c r="F6" t="s">
        <v>116</v>
      </c>
      <c r="G6" s="4">
        <v>195</v>
      </c>
      <c r="H6" s="2">
        <f>G6*L6</f>
        <v>344448</v>
      </c>
      <c r="I6" s="2">
        <f>[2]Main!$K$5-[2]Main!$K$6</f>
        <v>-67295</v>
      </c>
      <c r="J6" s="2">
        <f>[2]Main!$K$7</f>
        <v>411743</v>
      </c>
      <c r="K6" t="s">
        <v>242</v>
      </c>
      <c r="L6" s="2">
        <f>[2]Main!$K$3</f>
        <v>1766.4</v>
      </c>
      <c r="M6" s="2">
        <f>[2]Model!$AC$41</f>
        <v>416521.27804997418</v>
      </c>
      <c r="N6" s="3">
        <f>(M6/L6)/G6-1</f>
        <v>0.20924284086414824</v>
      </c>
      <c r="O6" s="3">
        <f>[2]Model!$AC$38</f>
        <v>0.02</v>
      </c>
      <c r="P6" s="3">
        <f>[2]Model!$AC$39</f>
        <v>-0.01</v>
      </c>
      <c r="Q6" s="3">
        <f>[2]Model!$AC$40</f>
        <v>7.0000000000000007E-2</v>
      </c>
    </row>
    <row r="7" spans="2:18" x14ac:dyDescent="0.2">
      <c r="D7">
        <f t="shared" si="0"/>
        <v>4</v>
      </c>
      <c r="E7" t="s">
        <v>30</v>
      </c>
      <c r="F7" t="s">
        <v>117</v>
      </c>
    </row>
    <row r="8" spans="2:18" x14ac:dyDescent="0.2">
      <c r="D8">
        <f t="shared" si="0"/>
        <v>5</v>
      </c>
      <c r="E8" t="s">
        <v>31</v>
      </c>
      <c r="F8" t="s">
        <v>118</v>
      </c>
    </row>
    <row r="9" spans="2:18" x14ac:dyDescent="0.2">
      <c r="D9">
        <f t="shared" si="0"/>
        <v>6</v>
      </c>
      <c r="E9" t="s">
        <v>32</v>
      </c>
      <c r="F9" t="s">
        <v>119</v>
      </c>
    </row>
    <row r="10" spans="2:18" x14ac:dyDescent="0.2">
      <c r="D10">
        <f t="shared" si="0"/>
        <v>7</v>
      </c>
      <c r="E10" t="s">
        <v>33</v>
      </c>
      <c r="F10" t="s">
        <v>120</v>
      </c>
    </row>
    <row r="11" spans="2:18" x14ac:dyDescent="0.2">
      <c r="D11">
        <f t="shared" si="0"/>
        <v>8</v>
      </c>
      <c r="E11" s="5" t="s">
        <v>34</v>
      </c>
      <c r="F11" t="s">
        <v>121</v>
      </c>
      <c r="G11" s="4">
        <v>79</v>
      </c>
      <c r="H11" s="2">
        <f>G11*L11</f>
        <v>198371.44899999999</v>
      </c>
      <c r="I11" s="2">
        <f>[3]Main!$P$5-[3]Main!$P$6</f>
        <v>-32320</v>
      </c>
      <c r="J11" s="2">
        <f>[3]Main!$P$7</f>
        <v>235713.511</v>
      </c>
      <c r="K11" t="s">
        <v>242</v>
      </c>
      <c r="L11" s="2">
        <f>[3]Main!$P$3</f>
        <v>2511.0309999999999</v>
      </c>
      <c r="M11" s="2">
        <f>[3]Model!$AA$42</f>
        <v>275409.72230189055</v>
      </c>
      <c r="N11" s="3">
        <f>(M11/L11)/G11-1</f>
        <v>0.3883536350127208</v>
      </c>
      <c r="O11" s="3">
        <f>[3]Model!$AA$39</f>
        <v>0.02</v>
      </c>
      <c r="P11" s="3">
        <f>[3]Model!$AA$40</f>
        <v>-0.01</v>
      </c>
      <c r="Q11" s="3">
        <f>[3]Model!$AA$41</f>
        <v>0.08</v>
      </c>
    </row>
    <row r="12" spans="2:18" x14ac:dyDescent="0.2">
      <c r="D12">
        <f t="shared" si="0"/>
        <v>9</v>
      </c>
      <c r="E12" t="s">
        <v>46</v>
      </c>
      <c r="F12" t="s">
        <v>122</v>
      </c>
    </row>
    <row r="13" spans="2:18" x14ac:dyDescent="0.2">
      <c r="D13">
        <f t="shared" si="0"/>
        <v>10</v>
      </c>
      <c r="E13" t="s">
        <v>35</v>
      </c>
      <c r="F13" t="s">
        <v>107</v>
      </c>
    </row>
    <row r="14" spans="2:18" x14ac:dyDescent="0.2">
      <c r="D14">
        <f t="shared" si="0"/>
        <v>11</v>
      </c>
      <c r="E14" t="s">
        <v>36</v>
      </c>
      <c r="F14" t="s">
        <v>123</v>
      </c>
    </row>
    <row r="15" spans="2:18" x14ac:dyDescent="0.2">
      <c r="D15">
        <f t="shared" si="0"/>
        <v>12</v>
      </c>
      <c r="E15" s="5" t="s">
        <v>45</v>
      </c>
      <c r="F15" t="s">
        <v>108</v>
      </c>
      <c r="G15" s="4">
        <v>113</v>
      </c>
      <c r="H15" s="2">
        <f>G15*L15</f>
        <v>140563.97700000001</v>
      </c>
      <c r="I15" s="2">
        <f>[4]Main!$M$5-[4]Main!$M$6</f>
        <v>-17085</v>
      </c>
      <c r="J15" s="2">
        <f>[4]Main!$M$7</f>
        <v>157648.97700000001</v>
      </c>
      <c r="K15" t="s">
        <v>242</v>
      </c>
      <c r="L15" s="2">
        <f>[4]Main!$M$3</f>
        <v>1243.9290000000001</v>
      </c>
      <c r="M15" s="2">
        <f>[4]Model!$AA$92</f>
        <v>150356.31716833118</v>
      </c>
      <c r="N15" s="3">
        <f>(M15/L15)/G15-1</f>
        <v>6.9664649345622554E-2</v>
      </c>
      <c r="O15" s="3">
        <f>[4]Model!$AA$89</f>
        <v>0.02</v>
      </c>
      <c r="P15" s="3">
        <f>[4]Model!$AA$90</f>
        <v>-0.01</v>
      </c>
      <c r="Q15" s="6">
        <f>[4]Model!$AA$91</f>
        <v>8.5000000000000006E-2</v>
      </c>
    </row>
    <row r="16" spans="2:18" x14ac:dyDescent="0.2">
      <c r="D16">
        <f t="shared" si="0"/>
        <v>13</v>
      </c>
      <c r="E16" t="s">
        <v>37</v>
      </c>
      <c r="F16" t="s">
        <v>124</v>
      </c>
    </row>
    <row r="17" spans="4:17" x14ac:dyDescent="0.2">
      <c r="D17">
        <f t="shared" si="0"/>
        <v>14</v>
      </c>
      <c r="E17" t="s">
        <v>44</v>
      </c>
      <c r="F17" t="s">
        <v>112</v>
      </c>
    </row>
    <row r="18" spans="4:17" x14ac:dyDescent="0.2">
      <c r="D18">
        <f t="shared" si="0"/>
        <v>15</v>
      </c>
      <c r="E18" s="5" t="s">
        <v>38</v>
      </c>
      <c r="F18" t="s">
        <v>125</v>
      </c>
      <c r="G18" s="4">
        <v>44</v>
      </c>
      <c r="H18" s="2">
        <f>G18*L18</f>
        <v>89543.51999999999</v>
      </c>
      <c r="I18" s="2">
        <f>[5]Main!$L$5-[5]Main!$L$6</f>
        <v>-39128</v>
      </c>
      <c r="J18" s="2">
        <f>[5]Main!$L$7</f>
        <v>128671.51999999999</v>
      </c>
      <c r="K18" t="s">
        <v>242</v>
      </c>
      <c r="L18" s="2">
        <f>[5]Main!$L$3</f>
        <v>2035.08</v>
      </c>
      <c r="M18" s="2">
        <f>[5]Model!$Y$48</f>
        <v>104952.78625217403</v>
      </c>
      <c r="N18" s="3">
        <f>(M18/L18)/G18-1</f>
        <v>0.17208689419596235</v>
      </c>
      <c r="O18" s="3">
        <f>[5]Model!$Y$45</f>
        <v>0.02</v>
      </c>
      <c r="P18" s="3">
        <f>[5]Model!$Y$46</f>
        <v>-0.01</v>
      </c>
      <c r="Q18" s="3">
        <f>[5]Model!$Y$47</f>
        <v>0.08</v>
      </c>
    </row>
    <row r="19" spans="4:17" x14ac:dyDescent="0.2">
      <c r="D19">
        <f t="shared" si="0"/>
        <v>16</v>
      </c>
      <c r="E19" t="s">
        <v>39</v>
      </c>
      <c r="F19" t="s">
        <v>126</v>
      </c>
    </row>
    <row r="20" spans="4:17" x14ac:dyDescent="0.2">
      <c r="D20">
        <f t="shared" si="0"/>
        <v>17</v>
      </c>
      <c r="E20" t="s">
        <v>43</v>
      </c>
      <c r="F20" t="s">
        <v>127</v>
      </c>
    </row>
    <row r="21" spans="4:17" x14ac:dyDescent="0.2">
      <c r="D21">
        <f t="shared" si="0"/>
        <v>18</v>
      </c>
      <c r="E21" t="s">
        <v>40</v>
      </c>
      <c r="F21" t="s">
        <v>128</v>
      </c>
    </row>
    <row r="22" spans="4:17" x14ac:dyDescent="0.2">
      <c r="D22">
        <f t="shared" si="0"/>
        <v>19</v>
      </c>
      <c r="E22" t="s">
        <v>41</v>
      </c>
      <c r="F22" t="s">
        <v>129</v>
      </c>
    </row>
    <row r="23" spans="4:17" x14ac:dyDescent="0.2">
      <c r="D23">
        <f t="shared" si="0"/>
        <v>20</v>
      </c>
      <c r="E23" t="s">
        <v>42</v>
      </c>
      <c r="F23" t="s">
        <v>111</v>
      </c>
    </row>
    <row r="24" spans="4:17" x14ac:dyDescent="0.2">
      <c r="D24">
        <f t="shared" si="0"/>
        <v>21</v>
      </c>
      <c r="E24" t="s">
        <v>47</v>
      </c>
      <c r="F24" t="s">
        <v>130</v>
      </c>
    </row>
    <row r="25" spans="4:17" x14ac:dyDescent="0.2">
      <c r="D25">
        <f t="shared" si="0"/>
        <v>22</v>
      </c>
      <c r="E25" t="s">
        <v>48</v>
      </c>
      <c r="F25" t="s">
        <v>131</v>
      </c>
    </row>
    <row r="26" spans="4:17" x14ac:dyDescent="0.2">
      <c r="D26">
        <f t="shared" si="0"/>
        <v>23</v>
      </c>
      <c r="E26" t="s">
        <v>49</v>
      </c>
      <c r="F26" t="s">
        <v>132</v>
      </c>
    </row>
    <row r="27" spans="4:17" x14ac:dyDescent="0.2">
      <c r="D27">
        <f t="shared" si="0"/>
        <v>24</v>
      </c>
      <c r="E27" t="s">
        <v>50</v>
      </c>
      <c r="F27" t="s">
        <v>133</v>
      </c>
    </row>
    <row r="28" spans="4:17" x14ac:dyDescent="0.2">
      <c r="D28">
        <f t="shared" si="0"/>
        <v>25</v>
      </c>
      <c r="E28" t="s">
        <v>51</v>
      </c>
      <c r="F28" t="s">
        <v>134</v>
      </c>
    </row>
    <row r="29" spans="4:17" x14ac:dyDescent="0.2">
      <c r="D29">
        <f t="shared" si="0"/>
        <v>26</v>
      </c>
      <c r="E29" t="s">
        <v>52</v>
      </c>
      <c r="F29" t="s">
        <v>135</v>
      </c>
    </row>
    <row r="30" spans="4:17" x14ac:dyDescent="0.2">
      <c r="D30">
        <f t="shared" si="0"/>
        <v>27</v>
      </c>
      <c r="E30" t="s">
        <v>53</v>
      </c>
      <c r="F30" t="s">
        <v>141</v>
      </c>
    </row>
    <row r="31" spans="4:17" x14ac:dyDescent="0.2">
      <c r="D31">
        <f t="shared" si="0"/>
        <v>28</v>
      </c>
      <c r="E31" t="s">
        <v>54</v>
      </c>
      <c r="F31" t="s">
        <v>136</v>
      </c>
    </row>
    <row r="32" spans="4:17" x14ac:dyDescent="0.2">
      <c r="D32">
        <f t="shared" si="0"/>
        <v>29</v>
      </c>
      <c r="E32" t="s">
        <v>55</v>
      </c>
      <c r="F32" t="s">
        <v>137</v>
      </c>
    </row>
    <row r="33" spans="4:6" x14ac:dyDescent="0.2">
      <c r="D33">
        <f t="shared" si="0"/>
        <v>30</v>
      </c>
      <c r="E33" t="s">
        <v>56</v>
      </c>
      <c r="F33" t="s">
        <v>138</v>
      </c>
    </row>
    <row r="34" spans="4:6" x14ac:dyDescent="0.2">
      <c r="D34">
        <f t="shared" si="0"/>
        <v>31</v>
      </c>
      <c r="E34" t="s">
        <v>57</v>
      </c>
      <c r="F34" t="s">
        <v>139</v>
      </c>
    </row>
    <row r="35" spans="4:6" x14ac:dyDescent="0.2">
      <c r="D35">
        <f t="shared" si="0"/>
        <v>32</v>
      </c>
      <c r="E35" t="s">
        <v>58</v>
      </c>
      <c r="F35" t="s">
        <v>140</v>
      </c>
    </row>
    <row r="36" spans="4:6" x14ac:dyDescent="0.2">
      <c r="D36">
        <f t="shared" si="0"/>
        <v>33</v>
      </c>
      <c r="E36" t="s">
        <v>59</v>
      </c>
      <c r="F36" t="s">
        <v>142</v>
      </c>
    </row>
    <row r="37" spans="4:6" x14ac:dyDescent="0.2">
      <c r="D37">
        <f t="shared" si="0"/>
        <v>34</v>
      </c>
      <c r="E37" t="s">
        <v>60</v>
      </c>
      <c r="F37" t="s">
        <v>143</v>
      </c>
    </row>
    <row r="38" spans="4:6" x14ac:dyDescent="0.2">
      <c r="D38">
        <f t="shared" si="0"/>
        <v>35</v>
      </c>
      <c r="E38" t="s">
        <v>61</v>
      </c>
      <c r="F38" t="s">
        <v>144</v>
      </c>
    </row>
    <row r="39" spans="4:6" x14ac:dyDescent="0.2">
      <c r="D39">
        <f t="shared" si="0"/>
        <v>36</v>
      </c>
      <c r="E39" t="s">
        <v>147</v>
      </c>
      <c r="F39" t="s">
        <v>145</v>
      </c>
    </row>
    <row r="40" spans="4:6" x14ac:dyDescent="0.2">
      <c r="D40">
        <f t="shared" si="0"/>
        <v>37</v>
      </c>
      <c r="E40" t="s">
        <v>62</v>
      </c>
      <c r="F40" t="s">
        <v>146</v>
      </c>
    </row>
    <row r="41" spans="4:6" x14ac:dyDescent="0.2">
      <c r="D41">
        <f t="shared" si="0"/>
        <v>38</v>
      </c>
      <c r="E41" t="s">
        <v>63</v>
      </c>
      <c r="F41" t="s">
        <v>148</v>
      </c>
    </row>
    <row r="42" spans="4:6" x14ac:dyDescent="0.2">
      <c r="D42">
        <f t="shared" si="0"/>
        <v>39</v>
      </c>
      <c r="E42" t="s">
        <v>64</v>
      </c>
      <c r="F42" t="s">
        <v>149</v>
      </c>
    </row>
    <row r="43" spans="4:6" x14ac:dyDescent="0.2">
      <c r="D43">
        <f t="shared" si="0"/>
        <v>40</v>
      </c>
      <c r="E43" t="s">
        <v>65</v>
      </c>
      <c r="F43" t="s">
        <v>150</v>
      </c>
    </row>
    <row r="44" spans="4:6" x14ac:dyDescent="0.2">
      <c r="D44">
        <f t="shared" si="0"/>
        <v>41</v>
      </c>
      <c r="E44" t="s">
        <v>66</v>
      </c>
      <c r="F44" t="s">
        <v>151</v>
      </c>
    </row>
    <row r="45" spans="4:6" x14ac:dyDescent="0.2">
      <c r="D45">
        <f t="shared" si="0"/>
        <v>42</v>
      </c>
      <c r="E45" t="s">
        <v>67</v>
      </c>
      <c r="F45" t="s">
        <v>152</v>
      </c>
    </row>
    <row r="46" spans="4:6" x14ac:dyDescent="0.2">
      <c r="D46">
        <f t="shared" si="0"/>
        <v>43</v>
      </c>
      <c r="E46" t="s">
        <v>68</v>
      </c>
      <c r="F46" t="s">
        <v>153</v>
      </c>
    </row>
    <row r="47" spans="4:6" x14ac:dyDescent="0.2">
      <c r="D47">
        <f t="shared" si="0"/>
        <v>44</v>
      </c>
      <c r="E47" t="s">
        <v>69</v>
      </c>
      <c r="F47" t="s">
        <v>154</v>
      </c>
    </row>
    <row r="48" spans="4:6" x14ac:dyDescent="0.2">
      <c r="D48">
        <f t="shared" si="0"/>
        <v>45</v>
      </c>
      <c r="E48" t="s">
        <v>70</v>
      </c>
      <c r="F48" t="s">
        <v>155</v>
      </c>
    </row>
    <row r="49" spans="4:6" x14ac:dyDescent="0.2">
      <c r="D49">
        <f t="shared" si="0"/>
        <v>46</v>
      </c>
      <c r="E49" t="s">
        <v>71</v>
      </c>
      <c r="F49" t="s">
        <v>109</v>
      </c>
    </row>
    <row r="50" spans="4:6" x14ac:dyDescent="0.2">
      <c r="D50">
        <f t="shared" si="0"/>
        <v>47</v>
      </c>
      <c r="E50" t="s">
        <v>76</v>
      </c>
      <c r="F50" t="s">
        <v>156</v>
      </c>
    </row>
    <row r="51" spans="4:6" x14ac:dyDescent="0.2">
      <c r="D51">
        <f t="shared" si="0"/>
        <v>48</v>
      </c>
      <c r="E51" t="s">
        <v>72</v>
      </c>
      <c r="F51" t="s">
        <v>157</v>
      </c>
    </row>
    <row r="52" spans="4:6" x14ac:dyDescent="0.2">
      <c r="D52">
        <f t="shared" si="0"/>
        <v>49</v>
      </c>
      <c r="E52" t="s">
        <v>73</v>
      </c>
      <c r="F52" t="s">
        <v>158</v>
      </c>
    </row>
    <row r="53" spans="4:6" x14ac:dyDescent="0.2">
      <c r="D53">
        <f t="shared" si="0"/>
        <v>50</v>
      </c>
      <c r="E53" t="s">
        <v>74</v>
      </c>
      <c r="F53" t="s">
        <v>159</v>
      </c>
    </row>
    <row r="54" spans="4:6" x14ac:dyDescent="0.2">
      <c r="D54">
        <f t="shared" si="0"/>
        <v>51</v>
      </c>
      <c r="E54" t="s">
        <v>75</v>
      </c>
      <c r="F54" t="s">
        <v>160</v>
      </c>
    </row>
    <row r="55" spans="4:6" x14ac:dyDescent="0.2">
      <c r="D55">
        <f t="shared" si="0"/>
        <v>52</v>
      </c>
      <c r="E55" t="s">
        <v>77</v>
      </c>
      <c r="F55" t="s">
        <v>113</v>
      </c>
    </row>
    <row r="56" spans="4:6" x14ac:dyDescent="0.2">
      <c r="D56">
        <f t="shared" si="0"/>
        <v>53</v>
      </c>
      <c r="E56" t="s">
        <v>78</v>
      </c>
      <c r="F56" t="s">
        <v>161</v>
      </c>
    </row>
    <row r="57" spans="4:6" x14ac:dyDescent="0.2">
      <c r="D57">
        <f t="shared" si="0"/>
        <v>54</v>
      </c>
      <c r="E57" t="s">
        <v>79</v>
      </c>
      <c r="F57" t="s">
        <v>162</v>
      </c>
    </row>
    <row r="58" spans="4:6" x14ac:dyDescent="0.2">
      <c r="D58">
        <f t="shared" si="0"/>
        <v>55</v>
      </c>
      <c r="E58" t="s">
        <v>80</v>
      </c>
      <c r="F58" t="s">
        <v>163</v>
      </c>
    </row>
    <row r="59" spans="4:6" x14ac:dyDescent="0.2">
      <c r="D59">
        <f t="shared" si="0"/>
        <v>56</v>
      </c>
      <c r="E59" t="s">
        <v>81</v>
      </c>
      <c r="F59" t="s">
        <v>164</v>
      </c>
    </row>
    <row r="60" spans="4:6" x14ac:dyDescent="0.2">
      <c r="D60">
        <f t="shared" si="0"/>
        <v>57</v>
      </c>
      <c r="E60" t="s">
        <v>82</v>
      </c>
      <c r="F60" t="s">
        <v>165</v>
      </c>
    </row>
    <row r="61" spans="4:6" x14ac:dyDescent="0.2">
      <c r="D61">
        <f t="shared" si="0"/>
        <v>58</v>
      </c>
      <c r="E61" t="s">
        <v>83</v>
      </c>
      <c r="F61" t="s">
        <v>166</v>
      </c>
    </row>
    <row r="62" spans="4:6" x14ac:dyDescent="0.2">
      <c r="D62">
        <f t="shared" si="0"/>
        <v>59</v>
      </c>
      <c r="E62" t="s">
        <v>84</v>
      </c>
      <c r="F62" t="s">
        <v>167</v>
      </c>
    </row>
    <row r="63" spans="4:6" x14ac:dyDescent="0.2">
      <c r="D63">
        <f t="shared" si="0"/>
        <v>60</v>
      </c>
      <c r="E63" t="s">
        <v>85</v>
      </c>
      <c r="F63" t="s">
        <v>168</v>
      </c>
    </row>
    <row r="64" spans="4:6" x14ac:dyDescent="0.2">
      <c r="D64">
        <f t="shared" si="0"/>
        <v>61</v>
      </c>
      <c r="E64" t="s">
        <v>86</v>
      </c>
      <c r="F64" t="s">
        <v>169</v>
      </c>
    </row>
    <row r="65" spans="4:6" x14ac:dyDescent="0.2">
      <c r="D65">
        <f t="shared" si="0"/>
        <v>62</v>
      </c>
      <c r="E65" t="s">
        <v>87</v>
      </c>
      <c r="F65" t="s">
        <v>170</v>
      </c>
    </row>
    <row r="66" spans="4:6" x14ac:dyDescent="0.2">
      <c r="D66">
        <f t="shared" si="0"/>
        <v>63</v>
      </c>
      <c r="E66" t="s">
        <v>88</v>
      </c>
      <c r="F66" t="s">
        <v>110</v>
      </c>
    </row>
    <row r="67" spans="4:6" x14ac:dyDescent="0.2">
      <c r="D67">
        <f t="shared" si="0"/>
        <v>64</v>
      </c>
      <c r="E67" t="s">
        <v>89</v>
      </c>
      <c r="F67" t="s">
        <v>171</v>
      </c>
    </row>
    <row r="68" spans="4:6" x14ac:dyDescent="0.2">
      <c r="D68">
        <f t="shared" si="0"/>
        <v>65</v>
      </c>
      <c r="E68" t="s">
        <v>90</v>
      </c>
      <c r="F68" t="s">
        <v>172</v>
      </c>
    </row>
    <row r="69" spans="4:6" x14ac:dyDescent="0.2">
      <c r="D69">
        <f t="shared" si="0"/>
        <v>66</v>
      </c>
      <c r="E69" t="s">
        <v>91</v>
      </c>
      <c r="F69" t="s">
        <v>173</v>
      </c>
    </row>
    <row r="70" spans="4:6" x14ac:dyDescent="0.2">
      <c r="D70">
        <f t="shared" si="0"/>
        <v>67</v>
      </c>
      <c r="E70" t="s">
        <v>92</v>
      </c>
      <c r="F70" t="s">
        <v>174</v>
      </c>
    </row>
    <row r="71" spans="4:6" x14ac:dyDescent="0.2">
      <c r="D71">
        <f t="shared" ref="D71:D131" si="1">D70+1</f>
        <v>68</v>
      </c>
      <c r="E71" t="s">
        <v>93</v>
      </c>
      <c r="F71" t="s">
        <v>175</v>
      </c>
    </row>
    <row r="72" spans="4:6" x14ac:dyDescent="0.2">
      <c r="D72">
        <f t="shared" si="1"/>
        <v>69</v>
      </c>
      <c r="E72" t="s">
        <v>94</v>
      </c>
      <c r="F72" t="s">
        <v>176</v>
      </c>
    </row>
    <row r="73" spans="4:6" x14ac:dyDescent="0.2">
      <c r="D73">
        <f t="shared" si="1"/>
        <v>70</v>
      </c>
      <c r="E73" t="s">
        <v>95</v>
      </c>
      <c r="F73" t="s">
        <v>177</v>
      </c>
    </row>
    <row r="74" spans="4:6" x14ac:dyDescent="0.2">
      <c r="D74">
        <f t="shared" si="1"/>
        <v>71</v>
      </c>
      <c r="E74" t="s">
        <v>96</v>
      </c>
      <c r="F74" t="s">
        <v>178</v>
      </c>
    </row>
    <row r="75" spans="4:6" x14ac:dyDescent="0.2">
      <c r="D75">
        <f t="shared" si="1"/>
        <v>72</v>
      </c>
      <c r="E75" t="s">
        <v>97</v>
      </c>
      <c r="F75" t="s">
        <v>179</v>
      </c>
    </row>
    <row r="76" spans="4:6" x14ac:dyDescent="0.2">
      <c r="D76">
        <f t="shared" si="1"/>
        <v>73</v>
      </c>
      <c r="E76" t="s">
        <v>98</v>
      </c>
      <c r="F76" t="s">
        <v>180</v>
      </c>
    </row>
    <row r="77" spans="4:6" x14ac:dyDescent="0.2">
      <c r="D77">
        <f t="shared" si="1"/>
        <v>74</v>
      </c>
      <c r="E77" t="s">
        <v>99</v>
      </c>
      <c r="F77" t="s">
        <v>181</v>
      </c>
    </row>
    <row r="78" spans="4:6" x14ac:dyDescent="0.2">
      <c r="D78">
        <f t="shared" si="1"/>
        <v>75</v>
      </c>
      <c r="E78" t="s">
        <v>100</v>
      </c>
      <c r="F78" t="s">
        <v>182</v>
      </c>
    </row>
    <row r="79" spans="4:6" x14ac:dyDescent="0.2">
      <c r="D79">
        <f t="shared" si="1"/>
        <v>76</v>
      </c>
      <c r="E79" t="s">
        <v>101</v>
      </c>
      <c r="F79" t="s">
        <v>183</v>
      </c>
    </row>
    <row r="80" spans="4:6" x14ac:dyDescent="0.2">
      <c r="D80">
        <f t="shared" si="1"/>
        <v>77</v>
      </c>
      <c r="E80" t="s">
        <v>102</v>
      </c>
      <c r="F80" t="s">
        <v>184</v>
      </c>
    </row>
    <row r="81" spans="4:6" x14ac:dyDescent="0.2">
      <c r="D81">
        <f t="shared" si="1"/>
        <v>78</v>
      </c>
      <c r="E81" t="s">
        <v>103</v>
      </c>
      <c r="F81" t="s">
        <v>185</v>
      </c>
    </row>
    <row r="82" spans="4:6" x14ac:dyDescent="0.2">
      <c r="D82">
        <f t="shared" si="1"/>
        <v>79</v>
      </c>
      <c r="E82" t="s">
        <v>104</v>
      </c>
      <c r="F82" t="s">
        <v>187</v>
      </c>
    </row>
    <row r="83" spans="4:6" x14ac:dyDescent="0.2">
      <c r="D83">
        <f t="shared" si="1"/>
        <v>80</v>
      </c>
      <c r="E83" t="s">
        <v>105</v>
      </c>
      <c r="F83" t="s">
        <v>186</v>
      </c>
    </row>
    <row r="84" spans="4:6" x14ac:dyDescent="0.2">
      <c r="D84">
        <f t="shared" si="1"/>
        <v>81</v>
      </c>
      <c r="E84" t="s">
        <v>106</v>
      </c>
      <c r="F84" t="s">
        <v>188</v>
      </c>
    </row>
    <row r="85" spans="4:6" x14ac:dyDescent="0.2">
      <c r="D85">
        <f t="shared" si="1"/>
        <v>82</v>
      </c>
      <c r="E85" t="s">
        <v>189</v>
      </c>
      <c r="F85" t="s">
        <v>190</v>
      </c>
    </row>
    <row r="86" spans="4:6" x14ac:dyDescent="0.2">
      <c r="D86">
        <f t="shared" si="1"/>
        <v>83</v>
      </c>
      <c r="E86" t="s">
        <v>191</v>
      </c>
      <c r="F86" t="s">
        <v>192</v>
      </c>
    </row>
    <row r="87" spans="4:6" x14ac:dyDescent="0.2">
      <c r="D87">
        <f t="shared" si="1"/>
        <v>84</v>
      </c>
      <c r="E87" t="s">
        <v>194</v>
      </c>
      <c r="F87" t="s">
        <v>193</v>
      </c>
    </row>
    <row r="88" spans="4:6" x14ac:dyDescent="0.2">
      <c r="D88">
        <f t="shared" si="1"/>
        <v>85</v>
      </c>
      <c r="E88" t="s">
        <v>195</v>
      </c>
      <c r="F88" t="s">
        <v>227</v>
      </c>
    </row>
    <row r="89" spans="4:6" x14ac:dyDescent="0.2">
      <c r="D89">
        <f t="shared" si="1"/>
        <v>86</v>
      </c>
      <c r="E89" t="s">
        <v>196</v>
      </c>
      <c r="F89" t="s">
        <v>228</v>
      </c>
    </row>
    <row r="90" spans="4:6" x14ac:dyDescent="0.2">
      <c r="D90">
        <f t="shared" si="1"/>
        <v>87</v>
      </c>
      <c r="E90" t="s">
        <v>197</v>
      </c>
      <c r="F90" t="s">
        <v>229</v>
      </c>
    </row>
    <row r="91" spans="4:6" x14ac:dyDescent="0.2">
      <c r="D91">
        <f t="shared" si="1"/>
        <v>88</v>
      </c>
      <c r="E91" t="s">
        <v>198</v>
      </c>
      <c r="F91" t="s">
        <v>230</v>
      </c>
    </row>
    <row r="92" spans="4:6" x14ac:dyDescent="0.2">
      <c r="D92">
        <f t="shared" si="1"/>
        <v>89</v>
      </c>
      <c r="E92" t="s">
        <v>199</v>
      </c>
      <c r="F92" t="s">
        <v>231</v>
      </c>
    </row>
    <row r="93" spans="4:6" x14ac:dyDescent="0.2">
      <c r="D93">
        <f t="shared" si="1"/>
        <v>90</v>
      </c>
      <c r="E93" t="s">
        <v>200</v>
      </c>
      <c r="F93" t="s">
        <v>232</v>
      </c>
    </row>
    <row r="94" spans="4:6" x14ac:dyDescent="0.2">
      <c r="D94">
        <f t="shared" si="1"/>
        <v>91</v>
      </c>
      <c r="E94" t="s">
        <v>201</v>
      </c>
      <c r="F94" t="s">
        <v>233</v>
      </c>
    </row>
    <row r="95" spans="4:6" x14ac:dyDescent="0.2">
      <c r="D95">
        <f t="shared" si="1"/>
        <v>92</v>
      </c>
      <c r="E95" t="s">
        <v>202</v>
      </c>
      <c r="F95" t="s">
        <v>234</v>
      </c>
    </row>
    <row r="96" spans="4:6" x14ac:dyDescent="0.2">
      <c r="D96">
        <f t="shared" si="1"/>
        <v>93</v>
      </c>
      <c r="E96" t="s">
        <v>203</v>
      </c>
      <c r="F96" t="s">
        <v>235</v>
      </c>
    </row>
    <row r="97" spans="4:17" x14ac:dyDescent="0.2">
      <c r="D97">
        <f t="shared" si="1"/>
        <v>94</v>
      </c>
      <c r="E97" t="s">
        <v>204</v>
      </c>
      <c r="F97" t="s">
        <v>236</v>
      </c>
    </row>
    <row r="98" spans="4:17" x14ac:dyDescent="0.2">
      <c r="D98">
        <f t="shared" si="1"/>
        <v>95</v>
      </c>
      <c r="E98" t="s">
        <v>205</v>
      </c>
      <c r="F98" t="s">
        <v>237</v>
      </c>
    </row>
    <row r="99" spans="4:17" x14ac:dyDescent="0.2">
      <c r="D99">
        <f t="shared" si="1"/>
        <v>96</v>
      </c>
      <c r="E99" t="s">
        <v>206</v>
      </c>
      <c r="F99" t="s">
        <v>225</v>
      </c>
    </row>
    <row r="100" spans="4:17" x14ac:dyDescent="0.2">
      <c r="D100">
        <f t="shared" si="1"/>
        <v>97</v>
      </c>
      <c r="E100" t="s">
        <v>207</v>
      </c>
      <c r="F100" t="s">
        <v>226</v>
      </c>
    </row>
    <row r="101" spans="4:17" x14ac:dyDescent="0.2">
      <c r="D101">
        <f t="shared" si="1"/>
        <v>98</v>
      </c>
      <c r="E101" t="s">
        <v>208</v>
      </c>
      <c r="F101" t="s">
        <v>224</v>
      </c>
    </row>
    <row r="102" spans="4:17" x14ac:dyDescent="0.2">
      <c r="D102">
        <f t="shared" si="1"/>
        <v>99</v>
      </c>
      <c r="E102" t="s">
        <v>209</v>
      </c>
      <c r="F102" t="s">
        <v>221</v>
      </c>
    </row>
    <row r="103" spans="4:17" x14ac:dyDescent="0.2">
      <c r="D103">
        <f t="shared" si="1"/>
        <v>100</v>
      </c>
      <c r="E103" t="s">
        <v>210</v>
      </c>
      <c r="F103" t="s">
        <v>222</v>
      </c>
    </row>
    <row r="104" spans="4:17" x14ac:dyDescent="0.2">
      <c r="D104">
        <f t="shared" si="1"/>
        <v>101</v>
      </c>
      <c r="E104" t="s">
        <v>211</v>
      </c>
      <c r="F104" t="s">
        <v>220</v>
      </c>
    </row>
    <row r="105" spans="4:17" x14ac:dyDescent="0.2">
      <c r="D105">
        <f t="shared" si="1"/>
        <v>102</v>
      </c>
      <c r="E105" t="s">
        <v>212</v>
      </c>
      <c r="F105" t="s">
        <v>223</v>
      </c>
    </row>
    <row r="106" spans="4:17" x14ac:dyDescent="0.2">
      <c r="D106">
        <f t="shared" si="1"/>
        <v>103</v>
      </c>
      <c r="E106" t="s">
        <v>213</v>
      </c>
      <c r="F106" t="s">
        <v>219</v>
      </c>
    </row>
    <row r="107" spans="4:17" x14ac:dyDescent="0.2">
      <c r="D107">
        <f t="shared" si="1"/>
        <v>104</v>
      </c>
      <c r="E107" t="s">
        <v>214</v>
      </c>
      <c r="F107" t="s">
        <v>218</v>
      </c>
    </row>
    <row r="108" spans="4:17" x14ac:dyDescent="0.2">
      <c r="D108">
        <f t="shared" si="1"/>
        <v>105</v>
      </c>
      <c r="E108" t="s">
        <v>215</v>
      </c>
      <c r="F108" t="s">
        <v>217</v>
      </c>
    </row>
    <row r="109" spans="4:17" x14ac:dyDescent="0.2">
      <c r="D109">
        <f t="shared" si="1"/>
        <v>106</v>
      </c>
      <c r="E109" t="s">
        <v>216</v>
      </c>
      <c r="F109" t="s">
        <v>114</v>
      </c>
    </row>
    <row r="110" spans="4:17" x14ac:dyDescent="0.2">
      <c r="D110">
        <f t="shared" si="1"/>
        <v>107</v>
      </c>
      <c r="E110" s="5" t="s">
        <v>239</v>
      </c>
      <c r="F110" t="s">
        <v>238</v>
      </c>
      <c r="G110" s="4">
        <v>11.2</v>
      </c>
      <c r="H110" s="2">
        <f>G110*L110</f>
        <v>956.16639999999995</v>
      </c>
      <c r="I110" s="2">
        <f>[6]Main!$K$5-[6]Main!$K$6</f>
        <v>115.771</v>
      </c>
      <c r="J110" s="2">
        <f>[6]Main!$K$7</f>
        <v>1028.2138</v>
      </c>
      <c r="K110" t="s">
        <v>245</v>
      </c>
      <c r="L110" s="2">
        <f>[6]Main!$K$3</f>
        <v>85.372</v>
      </c>
      <c r="M110" s="2">
        <f>[6]Main!$K$11</f>
        <v>95.771000000000001</v>
      </c>
      <c r="N110" s="3">
        <f>(M110/L110)/G110-1</f>
        <v>-0.89983856366423254</v>
      </c>
      <c r="O110" s="3">
        <f>[6]Model!$R$6</f>
        <v>0.02</v>
      </c>
      <c r="P110" s="3">
        <f>[6]Model!$R$7</f>
        <v>-0.01</v>
      </c>
      <c r="Q110" s="3">
        <f>[6]Model!$R$8</f>
        <v>0.09</v>
      </c>
    </row>
    <row r="111" spans="4:17" x14ac:dyDescent="0.2">
      <c r="D111">
        <f>D110+1</f>
        <v>108</v>
      </c>
      <c r="E111" s="1" t="s">
        <v>240</v>
      </c>
      <c r="F111" t="s">
        <v>241</v>
      </c>
      <c r="G111" s="4">
        <v>16</v>
      </c>
      <c r="H111" s="2">
        <f>G111*L111</f>
        <v>1572.432</v>
      </c>
      <c r="I111" s="2">
        <f>[7]Main!$K$5-[7]Main!$K$6</f>
        <v>-1194.46</v>
      </c>
      <c r="J111" s="2">
        <f>[7]Main!$K$7</f>
        <v>2766.8919999999998</v>
      </c>
      <c r="K111" t="s">
        <v>242</v>
      </c>
      <c r="L111" s="2">
        <f>[7]Main!$K$3</f>
        <v>98.277000000000001</v>
      </c>
      <c r="M111" s="2">
        <f>[7]Model!$X$18</f>
        <v>8323.8042332358727</v>
      </c>
      <c r="N111" s="3">
        <f>(M111/L111)/G111-1</f>
        <v>4.2935861348763398</v>
      </c>
      <c r="O111" s="3">
        <f>[7]Model!$X$15</f>
        <v>0.02</v>
      </c>
      <c r="P111" s="3">
        <f>[7]Model!$X$16</f>
        <v>-0.01</v>
      </c>
      <c r="Q111" s="3">
        <f>[7]Model!$X$17</f>
        <v>0.08</v>
      </c>
    </row>
    <row r="112" spans="4:17" x14ac:dyDescent="0.2">
      <c r="D112">
        <f>D111+1</f>
        <v>109</v>
      </c>
      <c r="E112" s="1" t="s">
        <v>244</v>
      </c>
      <c r="F112" t="s">
        <v>243</v>
      </c>
      <c r="G112" s="4">
        <v>2.2000000000000002</v>
      </c>
      <c r="H112" s="2">
        <f>G112*L112</f>
        <v>146.35720000000001</v>
      </c>
      <c r="I112" s="2">
        <f>[8]Main!$K$6-[8]Main!$K$7</f>
        <v>70</v>
      </c>
      <c r="J112" s="2">
        <f>[8]Main!$K$8</f>
        <v>76.357200000000006</v>
      </c>
      <c r="K112" t="s">
        <v>245</v>
      </c>
      <c r="L112" s="2">
        <f>[8]Main!$K$4</f>
        <v>66.525999999999996</v>
      </c>
      <c r="M112" s="2">
        <f>[8]Main!$N$9</f>
        <v>40</v>
      </c>
      <c r="N112" s="3">
        <f>(M112/L112)/G112-1</f>
        <v>-0.72669605595078346</v>
      </c>
    </row>
    <row r="113" spans="4:14" x14ac:dyDescent="0.2">
      <c r="D113">
        <f t="shared" si="1"/>
        <v>110</v>
      </c>
      <c r="E113" t="s">
        <v>247</v>
      </c>
      <c r="F113" t="s">
        <v>246</v>
      </c>
      <c r="G113" s="4">
        <v>61.2</v>
      </c>
      <c r="H113" s="2">
        <f>G113*L113</f>
        <v>0</v>
      </c>
      <c r="N113" s="3"/>
    </row>
    <row r="114" spans="4:14" x14ac:dyDescent="0.2">
      <c r="D114">
        <f t="shared" si="1"/>
        <v>111</v>
      </c>
    </row>
    <row r="115" spans="4:14" x14ac:dyDescent="0.2">
      <c r="D115">
        <f t="shared" si="1"/>
        <v>112</v>
      </c>
    </row>
    <row r="116" spans="4:14" x14ac:dyDescent="0.2">
      <c r="D116">
        <f t="shared" si="1"/>
        <v>113</v>
      </c>
    </row>
    <row r="117" spans="4:14" x14ac:dyDescent="0.2">
      <c r="D117">
        <f t="shared" si="1"/>
        <v>114</v>
      </c>
    </row>
    <row r="118" spans="4:14" x14ac:dyDescent="0.2">
      <c r="D118">
        <f t="shared" si="1"/>
        <v>115</v>
      </c>
    </row>
    <row r="119" spans="4:14" x14ac:dyDescent="0.2">
      <c r="D119">
        <f t="shared" si="1"/>
        <v>116</v>
      </c>
    </row>
    <row r="120" spans="4:14" x14ac:dyDescent="0.2">
      <c r="D120">
        <f t="shared" si="1"/>
        <v>117</v>
      </c>
    </row>
    <row r="121" spans="4:14" x14ac:dyDescent="0.2">
      <c r="D121">
        <f t="shared" si="1"/>
        <v>118</v>
      </c>
    </row>
    <row r="122" spans="4:14" x14ac:dyDescent="0.2">
      <c r="D122">
        <f t="shared" si="1"/>
        <v>119</v>
      </c>
    </row>
    <row r="123" spans="4:14" x14ac:dyDescent="0.2">
      <c r="D123">
        <f t="shared" si="1"/>
        <v>120</v>
      </c>
    </row>
    <row r="124" spans="4:14" x14ac:dyDescent="0.2">
      <c r="D124">
        <f t="shared" si="1"/>
        <v>121</v>
      </c>
    </row>
    <row r="125" spans="4:14" x14ac:dyDescent="0.2">
      <c r="D125">
        <f t="shared" si="1"/>
        <v>122</v>
      </c>
    </row>
    <row r="126" spans="4:14" x14ac:dyDescent="0.2">
      <c r="D126">
        <f t="shared" si="1"/>
        <v>123</v>
      </c>
    </row>
    <row r="127" spans="4:14" x14ac:dyDescent="0.2">
      <c r="D127">
        <f t="shared" si="1"/>
        <v>124</v>
      </c>
    </row>
    <row r="128" spans="4:14" x14ac:dyDescent="0.2">
      <c r="D128">
        <f t="shared" si="1"/>
        <v>125</v>
      </c>
    </row>
    <row r="129" spans="4:4" x14ac:dyDescent="0.2">
      <c r="D129">
        <f t="shared" si="1"/>
        <v>126</v>
      </c>
    </row>
    <row r="130" spans="4:4" x14ac:dyDescent="0.2">
      <c r="D130">
        <f t="shared" si="1"/>
        <v>127</v>
      </c>
    </row>
    <row r="131" spans="4:4" x14ac:dyDescent="0.2">
      <c r="D131">
        <f t="shared" si="1"/>
        <v>128</v>
      </c>
    </row>
  </sheetData>
  <hyperlinks>
    <hyperlink ref="E4" r:id="rId1" xr:uid="{D399F4A0-DA62-40ED-8CAD-669F8BFD1E14}"/>
    <hyperlink ref="E112" r:id="rId2" display="CRDF.xlsx" xr:uid="{302536EA-C7C3-4334-9C0C-02276CC95A18}"/>
    <hyperlink ref="E6" r:id="rId3" xr:uid="{7918E348-FA13-4616-93E0-DC4AEB739892}"/>
    <hyperlink ref="E18" r:id="rId4" xr:uid="{56E9697C-0CDA-43F5-B4D8-BBFCD69FA55C}"/>
    <hyperlink ref="E11" r:id="rId5" xr:uid="{28909E0C-113B-4769-9B3B-DE3A0F0CBF3A}"/>
    <hyperlink ref="E15" r:id="rId6" xr:uid="{1B5EC1C5-D4FE-4909-8E08-9F255BE6AAC3}"/>
    <hyperlink ref="E110" r:id="rId7" xr:uid="{0C7DF959-DEE9-40DE-A923-1865C8861848}"/>
    <hyperlink ref="E111" r:id="rId8" xr:uid="{7DDA4514-7690-4C3C-8E24-54A3E69AA25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2AD0-6E41-4DC9-AA4F-9BFB6D36429D}">
  <dimension ref="A1:J2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12" sqref="F12"/>
    </sheetView>
  </sheetViews>
  <sheetFormatPr defaultRowHeight="12.75" x14ac:dyDescent="0.2"/>
  <cols>
    <col min="1" max="1" width="5" bestFit="1" customWidth="1"/>
  </cols>
  <sheetData>
    <row r="1" spans="1:10" x14ac:dyDescent="0.2">
      <c r="A1" s="1" t="s">
        <v>18</v>
      </c>
    </row>
    <row r="2" spans="1:10" x14ac:dyDescent="0.2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26</v>
      </c>
      <c r="J2" t="s">
        <v>27</v>
      </c>
    </row>
  </sheetData>
  <hyperlinks>
    <hyperlink ref="A1" location="Main!A1" display="Main" xr:uid="{C8DDE9E8-DD28-4A1A-A5A9-F5959BCB05B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9C8BF-D09A-47BA-AACB-0EB0B3F0A6A9}">
  <dimension ref="A1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1" x14ac:dyDescent="0.2">
      <c r="A1" s="1" t="s">
        <v>18</v>
      </c>
    </row>
  </sheetData>
  <hyperlinks>
    <hyperlink ref="A1" location="Main!A1" display="Main" xr:uid="{96508E18-CFB3-42A3-A7C9-FC9A9C323F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960EB-C167-4B88-B4B7-E61940B40B35}">
  <dimension ref="A1"/>
  <sheetViews>
    <sheetView zoomScale="160" zoomScaleNormal="160" workbookViewId="0"/>
  </sheetViews>
  <sheetFormatPr defaultRowHeight="12.75" x14ac:dyDescent="0.2"/>
  <cols>
    <col min="1" max="1" width="5" bestFit="1" customWidth="1"/>
  </cols>
  <sheetData>
    <row r="1" spans="1:1" x14ac:dyDescent="0.2">
      <c r="A1" s="1" t="s">
        <v>18</v>
      </c>
    </row>
  </sheetData>
  <hyperlinks>
    <hyperlink ref="A1" location="Main!A1" display="Main" xr:uid="{2290781E-A10C-4D20-9C89-702989AEBC5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3397C-CCC5-4844-966F-F587F103EF60}">
  <dimension ref="A1"/>
  <sheetViews>
    <sheetView zoomScale="160" zoomScaleNormal="1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2.75" x14ac:dyDescent="0.2"/>
  <cols>
    <col min="1" max="1" width="5" bestFit="1" customWidth="1"/>
  </cols>
  <sheetData>
    <row r="1" spans="1:1" x14ac:dyDescent="0.2">
      <c r="A1" s="1" t="s">
        <v>18</v>
      </c>
    </row>
  </sheetData>
  <hyperlinks>
    <hyperlink ref="A1" location="Main!A1" display="Main" xr:uid="{0F78121F-1FC8-4698-B036-297F19128B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Drugs</vt:lpstr>
      <vt:lpstr>Todo</vt:lpstr>
      <vt:lpstr>Private</vt:lpstr>
      <vt:lpstr>Funds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2025-07-24T04:48:39Z</dcterms:created>
  <dcterms:modified xsi:type="dcterms:W3CDTF">2025-08-02T21:39:29Z</dcterms:modified>
</cp:coreProperties>
</file>