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models\"/>
    </mc:Choice>
  </mc:AlternateContent>
  <xr:revisionPtr revIDLastSave="0" documentId="13_ncr:1_{04D4C4F6-4131-4801-814C-B4630D552D86}" xr6:coauthVersionLast="47" xr6:coauthVersionMax="47" xr10:uidLastSave="{00000000-0000-0000-0000-000000000000}"/>
  <bookViews>
    <workbookView xWindow="2730" yWindow="1665" windowWidth="22200" windowHeight="14535" activeTab="1" xr2:uid="{624EDDA0-A479-489D-B866-645631A924E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2" l="1"/>
  <c r="V3" i="2"/>
  <c r="W3" i="2" s="1"/>
  <c r="T3" i="2"/>
  <c r="O2" i="2"/>
  <c r="P2" i="2"/>
  <c r="Q2" i="2" s="1"/>
  <c r="R2" i="2" s="1"/>
  <c r="S2" i="2" s="1"/>
  <c r="T2" i="2" s="1"/>
  <c r="U2" i="2" s="1"/>
  <c r="V2" i="2" s="1"/>
  <c r="W2" i="2" s="1"/>
  <c r="S3" i="2"/>
  <c r="N35" i="2"/>
  <c r="N3" i="2" l="1"/>
  <c r="O3" i="2" s="1"/>
  <c r="P3" i="2" s="1"/>
  <c r="Q3" i="2" s="1"/>
  <c r="R3" i="2" s="1"/>
  <c r="N2" i="2"/>
  <c r="N27" i="2"/>
  <c r="L35" i="2"/>
  <c r="M35" i="2"/>
  <c r="K35" i="2"/>
  <c r="K24" i="2" s="1"/>
  <c r="M42" i="2"/>
  <c r="M37" i="2" s="1"/>
  <c r="N12" i="2" s="1"/>
  <c r="M29" i="2"/>
  <c r="N29" i="2" s="1"/>
  <c r="O29" i="2" s="1"/>
  <c r="P29" i="2" s="1"/>
  <c r="Q29" i="2" s="1"/>
  <c r="R29" i="2" s="1"/>
  <c r="S29" i="2" s="1"/>
  <c r="T29" i="2" s="1"/>
  <c r="U29" i="2" s="1"/>
  <c r="V29" i="2" s="1"/>
  <c r="W29" i="2" s="1"/>
  <c r="L29" i="2"/>
  <c r="K29" i="2"/>
  <c r="K28" i="2"/>
  <c r="M28" i="2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L28" i="2"/>
  <c r="M27" i="2"/>
  <c r="L27" i="2"/>
  <c r="M26" i="2"/>
  <c r="L26" i="2"/>
  <c r="L10" i="2"/>
  <c r="M10" i="2"/>
  <c r="K10" i="2"/>
  <c r="L4" i="2"/>
  <c r="L7" i="2" s="1"/>
  <c r="L11" i="2" s="1"/>
  <c r="L13" i="2" s="1"/>
  <c r="L15" i="2" s="1"/>
  <c r="L16" i="2" s="1"/>
  <c r="M4" i="2"/>
  <c r="M7" i="2" s="1"/>
  <c r="M11" i="2" s="1"/>
  <c r="M13" i="2" s="1"/>
  <c r="M15" i="2" s="1"/>
  <c r="M39" i="2" s="1"/>
  <c r="K4" i="2"/>
  <c r="K7" i="2" s="1"/>
  <c r="J1" i="2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P5" i="1"/>
  <c r="P4" i="1"/>
  <c r="P7" i="1" s="1"/>
  <c r="L24" i="2" l="1"/>
  <c r="M24" i="2"/>
  <c r="S6" i="2"/>
  <c r="S27" i="2"/>
  <c r="S5" i="2"/>
  <c r="S4" i="2"/>
  <c r="S31" i="2" s="1"/>
  <c r="S26" i="2"/>
  <c r="T5" i="2"/>
  <c r="T4" i="2"/>
  <c r="T26" i="2"/>
  <c r="T6" i="2"/>
  <c r="M31" i="2"/>
  <c r="K30" i="2"/>
  <c r="L31" i="2"/>
  <c r="K31" i="2"/>
  <c r="M30" i="2"/>
  <c r="L30" i="2"/>
  <c r="N6" i="2"/>
  <c r="N5" i="2"/>
  <c r="L19" i="2"/>
  <c r="M19" i="2"/>
  <c r="N4" i="2"/>
  <c r="N26" i="2"/>
  <c r="O6" i="2"/>
  <c r="O26" i="2"/>
  <c r="O5" i="2"/>
  <c r="O4" i="2"/>
  <c r="P26" i="2"/>
  <c r="K11" i="2"/>
  <c r="K13" i="2" s="1"/>
  <c r="K15" i="2" s="1"/>
  <c r="L39" i="2"/>
  <c r="M16" i="2"/>
  <c r="P8" i="1" s="1"/>
  <c r="M22" i="2"/>
  <c r="L22" i="2"/>
  <c r="M23" i="2"/>
  <c r="L23" i="2"/>
  <c r="K22" i="2"/>
  <c r="S7" i="2" l="1"/>
  <c r="S30" i="2"/>
  <c r="T27" i="2"/>
  <c r="S22" i="2"/>
  <c r="T7" i="2"/>
  <c r="T19" i="2"/>
  <c r="T30" i="2"/>
  <c r="T31" i="2"/>
  <c r="U5" i="2"/>
  <c r="U26" i="2"/>
  <c r="U4" i="2"/>
  <c r="K16" i="2"/>
  <c r="O30" i="2"/>
  <c r="O31" i="2"/>
  <c r="N19" i="2"/>
  <c r="N8" i="2" s="1"/>
  <c r="N31" i="2"/>
  <c r="N30" i="2"/>
  <c r="O19" i="2"/>
  <c r="N7" i="2"/>
  <c r="N22" i="2" s="1"/>
  <c r="K23" i="2"/>
  <c r="K39" i="2"/>
  <c r="O27" i="2"/>
  <c r="P5" i="2"/>
  <c r="O7" i="2"/>
  <c r="O22" i="2" s="1"/>
  <c r="Q26" i="2"/>
  <c r="N9" i="2" l="1"/>
  <c r="N10" i="2" s="1"/>
  <c r="O8" i="2"/>
  <c r="U6" i="2"/>
  <c r="U27" i="2"/>
  <c r="U7" i="2"/>
  <c r="U19" i="2"/>
  <c r="U30" i="2"/>
  <c r="U31" i="2"/>
  <c r="V5" i="2"/>
  <c r="V4" i="2"/>
  <c r="V31" i="2" s="1"/>
  <c r="V26" i="2"/>
  <c r="T22" i="2"/>
  <c r="O9" i="2"/>
  <c r="O10" i="2" s="1"/>
  <c r="O11" i="2" s="1"/>
  <c r="O23" i="2" s="1"/>
  <c r="N11" i="2"/>
  <c r="N13" i="2" s="1"/>
  <c r="N14" i="2" s="1"/>
  <c r="P27" i="2"/>
  <c r="P6" i="2"/>
  <c r="P4" i="2"/>
  <c r="Q5" i="2"/>
  <c r="Q4" i="2"/>
  <c r="V27" i="2" l="1"/>
  <c r="V6" i="2"/>
  <c r="V7" i="2"/>
  <c r="V19" i="2"/>
  <c r="V30" i="2"/>
  <c r="W5" i="2"/>
  <c r="W26" i="2"/>
  <c r="W4" i="2"/>
  <c r="U22" i="2"/>
  <c r="N15" i="2"/>
  <c r="N33" i="2" s="1"/>
  <c r="N23" i="2"/>
  <c r="Q30" i="2"/>
  <c r="Q31" i="2"/>
  <c r="P19" i="2"/>
  <c r="P31" i="2"/>
  <c r="P30" i="2"/>
  <c r="Q27" i="2"/>
  <c r="Q6" i="2"/>
  <c r="P7" i="2"/>
  <c r="P22" i="2" s="1"/>
  <c r="Q19" i="2"/>
  <c r="Q7" i="2"/>
  <c r="Q22" i="2" s="1"/>
  <c r="R26" i="2"/>
  <c r="R5" i="2"/>
  <c r="R4" i="2"/>
  <c r="S19" i="2" s="1"/>
  <c r="W6" i="2" l="1"/>
  <c r="W27" i="2"/>
  <c r="W7" i="2"/>
  <c r="W19" i="2"/>
  <c r="W30" i="2"/>
  <c r="W31" i="2"/>
  <c r="V22" i="2"/>
  <c r="N16" i="2"/>
  <c r="N39" i="2"/>
  <c r="N37" i="2"/>
  <c r="O12" i="2" s="1"/>
  <c r="O13" i="2" s="1"/>
  <c r="O14" i="2" s="1"/>
  <c r="N34" i="2"/>
  <c r="N24" i="2" s="1"/>
  <c r="R30" i="2"/>
  <c r="R31" i="2"/>
  <c r="P9" i="2"/>
  <c r="Q9" i="2" s="1"/>
  <c r="P8" i="2"/>
  <c r="Q8" i="2" s="1"/>
  <c r="R27" i="2"/>
  <c r="R6" i="2"/>
  <c r="R7" i="2" s="1"/>
  <c r="R19" i="2"/>
  <c r="W22" i="2" l="1"/>
  <c r="O15" i="2"/>
  <c r="O33" i="2"/>
  <c r="O34" i="2" s="1"/>
  <c r="O16" i="2"/>
  <c r="R8" i="2"/>
  <c r="S8" i="2" s="1"/>
  <c r="P10" i="2"/>
  <c r="P11" i="2" s="1"/>
  <c r="P23" i="2" s="1"/>
  <c r="R9" i="2"/>
  <c r="Q10" i="2"/>
  <c r="Q11" i="2" s="1"/>
  <c r="Q23" i="2" s="1"/>
  <c r="R22" i="2"/>
  <c r="O39" i="2" l="1"/>
  <c r="O35" i="2"/>
  <c r="O24" i="2" s="1"/>
  <c r="R10" i="2"/>
  <c r="R11" i="2" s="1"/>
  <c r="R23" i="2" s="1"/>
  <c r="S9" i="2"/>
  <c r="T9" i="2" s="1"/>
  <c r="U9" i="2" s="1"/>
  <c r="V9" i="2" s="1"/>
  <c r="W9" i="2" s="1"/>
  <c r="T8" i="2"/>
  <c r="O37" i="2"/>
  <c r="P12" i="2" s="1"/>
  <c r="P13" i="2" s="1"/>
  <c r="P14" i="2" s="1"/>
  <c r="S10" i="2" l="1"/>
  <c r="S11" i="2" s="1"/>
  <c r="S23" i="2"/>
  <c r="U8" i="2"/>
  <c r="T10" i="2"/>
  <c r="T11" i="2" s="1"/>
  <c r="T23" i="2" s="1"/>
  <c r="P15" i="2"/>
  <c r="P39" i="2"/>
  <c r="P16" i="2"/>
  <c r="P37" i="2"/>
  <c r="Q12" i="2" s="1"/>
  <c r="Q13" i="2" s="1"/>
  <c r="P33" i="2" l="1"/>
  <c r="P34" i="2" s="1"/>
  <c r="P35" i="2"/>
  <c r="Q14" i="2"/>
  <c r="Q15" i="2" s="1"/>
  <c r="Q35" i="2" s="1"/>
  <c r="V8" i="2"/>
  <c r="U10" i="2"/>
  <c r="U11" i="2" s="1"/>
  <c r="U23" i="2" s="1"/>
  <c r="P24" i="2" l="1"/>
  <c r="Q33" i="2"/>
  <c r="Q34" i="2" s="1"/>
  <c r="Q24" i="2" s="1"/>
  <c r="Q39" i="2"/>
  <c r="Q37" i="2"/>
  <c r="R12" i="2" s="1"/>
  <c r="R13" i="2" s="1"/>
  <c r="R14" i="2" s="1"/>
  <c r="Q16" i="2"/>
  <c r="W8" i="2"/>
  <c r="W10" i="2" s="1"/>
  <c r="W11" i="2" s="1"/>
  <c r="W23" i="2" s="1"/>
  <c r="V10" i="2"/>
  <c r="V11" i="2" s="1"/>
  <c r="V23" i="2" s="1"/>
  <c r="R15" i="2" l="1"/>
  <c r="R35" i="2" s="1"/>
  <c r="R39" i="2"/>
  <c r="R33" i="2"/>
  <c r="R37" i="2"/>
  <c r="R16" i="2"/>
  <c r="S12" i="2" l="1"/>
  <c r="S13" i="2" s="1"/>
  <c r="R34" i="2"/>
  <c r="R24" i="2" s="1"/>
  <c r="S14" i="2" l="1"/>
  <c r="S15" i="2" s="1"/>
  <c r="S35" i="2" s="1"/>
  <c r="S37" i="2" l="1"/>
  <c r="T12" i="2" s="1"/>
  <c r="T13" i="2" s="1"/>
  <c r="S16" i="2"/>
  <c r="S33" i="2"/>
  <c r="S34" i="2" s="1"/>
  <c r="S24" i="2" s="1"/>
  <c r="T14" i="2" l="1"/>
  <c r="T15" i="2" s="1"/>
  <c r="T35" i="2" s="1"/>
  <c r="T37" i="2" l="1"/>
  <c r="U12" i="2" s="1"/>
  <c r="U13" i="2" s="1"/>
  <c r="T16" i="2"/>
  <c r="T33" i="2"/>
  <c r="T34" i="2" s="1"/>
  <c r="T24" i="2" s="1"/>
  <c r="U14" i="2" l="1"/>
  <c r="U15" i="2" s="1"/>
  <c r="U35" i="2" s="1"/>
  <c r="U37" i="2" l="1"/>
  <c r="U16" i="2"/>
  <c r="U33" i="2"/>
  <c r="U34" i="2" s="1"/>
  <c r="U24" i="2" s="1"/>
  <c r="V12" i="2" l="1"/>
  <c r="V13" i="2" s="1"/>
  <c r="V14" i="2" l="1"/>
  <c r="V15" i="2" s="1"/>
  <c r="V35" i="2" s="1"/>
  <c r="V16" i="2" l="1"/>
  <c r="V33" i="2"/>
  <c r="V34" i="2" s="1"/>
  <c r="V24" i="2" s="1"/>
  <c r="V37" i="2"/>
  <c r="W12" i="2" l="1"/>
  <c r="W13" i="2" s="1"/>
  <c r="W14" i="2" l="1"/>
  <c r="W15" i="2"/>
  <c r="W35" i="2" s="1"/>
  <c r="W33" i="2" l="1"/>
  <c r="W34" i="2" s="1"/>
  <c r="X15" i="2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DO15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EF15" i="2" s="1"/>
  <c r="EG15" i="2" s="1"/>
  <c r="EH15" i="2" s="1"/>
  <c r="EI15" i="2" s="1"/>
  <c r="EJ15" i="2" s="1"/>
  <c r="EK15" i="2" s="1"/>
  <c r="EL15" i="2" s="1"/>
  <c r="EM15" i="2" s="1"/>
  <c r="EN15" i="2" s="1"/>
  <c r="EO15" i="2" s="1"/>
  <c r="EP15" i="2" s="1"/>
  <c r="EQ15" i="2" s="1"/>
  <c r="ER15" i="2" s="1"/>
  <c r="ES15" i="2" s="1"/>
  <c r="ET15" i="2" s="1"/>
  <c r="EU15" i="2" s="1"/>
  <c r="EV15" i="2" s="1"/>
  <c r="EW15" i="2" s="1"/>
  <c r="EX15" i="2" s="1"/>
  <c r="EY15" i="2" s="1"/>
  <c r="EZ15" i="2" s="1"/>
  <c r="FA15" i="2" s="1"/>
  <c r="FB15" i="2" s="1"/>
  <c r="FC15" i="2" s="1"/>
  <c r="FD15" i="2" s="1"/>
  <c r="FE15" i="2" s="1"/>
  <c r="FF15" i="2" s="1"/>
  <c r="FG15" i="2" s="1"/>
  <c r="FH15" i="2" s="1"/>
  <c r="FI15" i="2" s="1"/>
  <c r="FJ15" i="2" s="1"/>
  <c r="FK15" i="2" s="1"/>
  <c r="W16" i="2"/>
  <c r="W37" i="2"/>
  <c r="X35" i="2" l="1"/>
  <c r="Y35" i="2" s="1"/>
  <c r="Z35" i="2" s="1"/>
  <c r="AA35" i="2" s="1"/>
  <c r="AB35" i="2" s="1"/>
  <c r="AC35" i="2" s="1"/>
  <c r="AD35" i="2" s="1"/>
  <c r="AE35" i="2" s="1"/>
  <c r="AF35" i="2" s="1"/>
  <c r="AG35" i="2" s="1"/>
  <c r="AH35" i="2" s="1"/>
  <c r="AI35" i="2" s="1"/>
  <c r="AJ35" i="2" s="1"/>
  <c r="AK35" i="2" s="1"/>
  <c r="AL35" i="2" s="1"/>
  <c r="AM35" i="2" s="1"/>
  <c r="AN35" i="2" s="1"/>
  <c r="AO35" i="2" s="1"/>
  <c r="AP35" i="2" s="1"/>
  <c r="AQ35" i="2" s="1"/>
  <c r="AR35" i="2" s="1"/>
  <c r="AS35" i="2" s="1"/>
  <c r="AT35" i="2" s="1"/>
  <c r="AU35" i="2" s="1"/>
  <c r="AV35" i="2" s="1"/>
  <c r="AW35" i="2" s="1"/>
  <c r="AX35" i="2" s="1"/>
  <c r="AY35" i="2" s="1"/>
  <c r="AZ35" i="2" s="1"/>
  <c r="BA35" i="2" s="1"/>
  <c r="BB35" i="2" s="1"/>
  <c r="BC35" i="2" s="1"/>
  <c r="BD35" i="2" s="1"/>
  <c r="BE35" i="2" s="1"/>
  <c r="BF35" i="2" s="1"/>
  <c r="BG35" i="2" s="1"/>
  <c r="BH35" i="2" s="1"/>
  <c r="BI35" i="2" s="1"/>
  <c r="BJ35" i="2" s="1"/>
  <c r="BK35" i="2" s="1"/>
  <c r="BL35" i="2" s="1"/>
  <c r="BM35" i="2" s="1"/>
  <c r="BN35" i="2" s="1"/>
  <c r="BO35" i="2" s="1"/>
  <c r="BP35" i="2" s="1"/>
  <c r="BQ35" i="2" s="1"/>
  <c r="BR35" i="2" s="1"/>
  <c r="BS35" i="2" s="1"/>
  <c r="BT35" i="2" s="1"/>
  <c r="BU35" i="2" s="1"/>
  <c r="BV35" i="2" s="1"/>
  <c r="BW35" i="2" s="1"/>
  <c r="BX35" i="2" s="1"/>
  <c r="BY35" i="2" s="1"/>
  <c r="BZ35" i="2" s="1"/>
  <c r="CA35" i="2" s="1"/>
  <c r="CB35" i="2" s="1"/>
  <c r="CC35" i="2" s="1"/>
  <c r="CD35" i="2" s="1"/>
  <c r="CE35" i="2" s="1"/>
  <c r="CF35" i="2" s="1"/>
  <c r="CG35" i="2" s="1"/>
  <c r="CH35" i="2" s="1"/>
  <c r="CI35" i="2" s="1"/>
  <c r="CJ35" i="2" s="1"/>
  <c r="CK35" i="2" s="1"/>
  <c r="CL35" i="2" s="1"/>
  <c r="CM35" i="2" s="1"/>
  <c r="CN35" i="2" s="1"/>
  <c r="CO35" i="2" s="1"/>
  <c r="CP35" i="2" s="1"/>
  <c r="CQ35" i="2" s="1"/>
  <c r="CR35" i="2" s="1"/>
  <c r="CS35" i="2" s="1"/>
  <c r="CT35" i="2" s="1"/>
  <c r="CU35" i="2" s="1"/>
  <c r="CV35" i="2" s="1"/>
  <c r="CW35" i="2" s="1"/>
  <c r="CX35" i="2" s="1"/>
  <c r="CY35" i="2" s="1"/>
  <c r="CZ35" i="2" s="1"/>
  <c r="DA35" i="2" s="1"/>
  <c r="DB35" i="2" s="1"/>
  <c r="DC35" i="2" s="1"/>
  <c r="DD35" i="2" s="1"/>
  <c r="DE35" i="2" s="1"/>
  <c r="DF35" i="2" s="1"/>
  <c r="DG35" i="2" s="1"/>
  <c r="DH35" i="2" s="1"/>
  <c r="DI35" i="2" s="1"/>
  <c r="DJ35" i="2" s="1"/>
  <c r="DK35" i="2" s="1"/>
  <c r="DL35" i="2" s="1"/>
  <c r="DM35" i="2" s="1"/>
  <c r="DN35" i="2" s="1"/>
  <c r="DO35" i="2" s="1"/>
  <c r="DP35" i="2" s="1"/>
  <c r="DQ35" i="2" s="1"/>
  <c r="DR35" i="2" s="1"/>
  <c r="DS35" i="2" s="1"/>
  <c r="DT35" i="2" s="1"/>
  <c r="DU35" i="2" s="1"/>
  <c r="DV35" i="2" s="1"/>
  <c r="DW35" i="2" s="1"/>
  <c r="DX35" i="2" s="1"/>
  <c r="DY35" i="2" s="1"/>
  <c r="DZ35" i="2" s="1"/>
  <c r="EA35" i="2" s="1"/>
  <c r="EB35" i="2" s="1"/>
  <c r="EC35" i="2" s="1"/>
  <c r="ED35" i="2" s="1"/>
  <c r="EE35" i="2" s="1"/>
  <c r="EF35" i="2" s="1"/>
  <c r="EG35" i="2" s="1"/>
  <c r="EH35" i="2" s="1"/>
  <c r="EI35" i="2" s="1"/>
  <c r="EJ35" i="2" s="1"/>
  <c r="EK35" i="2" s="1"/>
  <c r="EL35" i="2" s="1"/>
  <c r="EM35" i="2" s="1"/>
  <c r="EN35" i="2" s="1"/>
  <c r="EO35" i="2" s="1"/>
  <c r="EP35" i="2" s="1"/>
  <c r="EQ35" i="2" s="1"/>
  <c r="ER35" i="2" s="1"/>
  <c r="ES35" i="2" s="1"/>
  <c r="ET35" i="2" s="1"/>
  <c r="EU35" i="2" s="1"/>
  <c r="EV35" i="2" s="1"/>
  <c r="EW35" i="2" s="1"/>
  <c r="EX35" i="2" s="1"/>
  <c r="EY35" i="2" s="1"/>
  <c r="EZ35" i="2" s="1"/>
  <c r="FA35" i="2" s="1"/>
  <c r="FB35" i="2" s="1"/>
  <c r="FC35" i="2" s="1"/>
  <c r="FD35" i="2" s="1"/>
  <c r="FE35" i="2" s="1"/>
  <c r="FF35" i="2" s="1"/>
  <c r="FG35" i="2" s="1"/>
  <c r="Z21" i="2" s="1"/>
  <c r="Z22" i="2" s="1"/>
  <c r="Z23" i="2" s="1"/>
  <c r="W24" i="2"/>
</calcChain>
</file>

<file path=xl/sharedStrings.xml><?xml version="1.0" encoding="utf-8"?>
<sst xmlns="http://schemas.openxmlformats.org/spreadsheetml/2006/main" count="64" uniqueCount="55">
  <si>
    <t>Price</t>
  </si>
  <si>
    <t>Shares</t>
  </si>
  <si>
    <t>MC</t>
  </si>
  <si>
    <t>Cash</t>
  </si>
  <si>
    <t>Debt</t>
  </si>
  <si>
    <t>EV</t>
  </si>
  <si>
    <t>Q424</t>
  </si>
  <si>
    <t>Q125</t>
  </si>
  <si>
    <t>Products</t>
  </si>
  <si>
    <t>Services</t>
  </si>
  <si>
    <t>Revenue</t>
  </si>
  <si>
    <t>Products COGS</t>
  </si>
  <si>
    <t>Services COGS</t>
  </si>
  <si>
    <t>Gross Profit</t>
  </si>
  <si>
    <t>R&amp;D</t>
  </si>
  <si>
    <t>SG&amp;A</t>
  </si>
  <si>
    <t>OPEX</t>
  </si>
  <si>
    <t>Operating Income</t>
  </si>
  <si>
    <t>Other Income</t>
  </si>
  <si>
    <t>Pretax Income</t>
  </si>
  <si>
    <t>Net Income</t>
  </si>
  <si>
    <t>EPS</t>
  </si>
  <si>
    <t>Revenue Growth y/y</t>
  </si>
  <si>
    <t>Revenue Growth q/q</t>
  </si>
  <si>
    <t>Gross Margin</t>
  </si>
  <si>
    <t>Operating Margin</t>
  </si>
  <si>
    <t>CFFO</t>
  </si>
  <si>
    <t>CX</t>
  </si>
  <si>
    <t>FCF</t>
  </si>
  <si>
    <t>Q124</t>
  </si>
  <si>
    <t>Q224</t>
  </si>
  <si>
    <t>Q324</t>
  </si>
  <si>
    <t>Q225</t>
  </si>
  <si>
    <t>NPV</t>
  </si>
  <si>
    <t>ROIC</t>
  </si>
  <si>
    <t>Maturity</t>
  </si>
  <si>
    <t>Discount</t>
  </si>
  <si>
    <t>Diff</t>
  </si>
  <si>
    <t>Net Cash</t>
  </si>
  <si>
    <t>AP</t>
  </si>
  <si>
    <t>AR</t>
  </si>
  <si>
    <t>Tax</t>
  </si>
  <si>
    <t>Model NI</t>
  </si>
  <si>
    <t>Reported NI</t>
  </si>
  <si>
    <t>Products GM</t>
  </si>
  <si>
    <t>Services GM</t>
  </si>
  <si>
    <t>Products Growth</t>
  </si>
  <si>
    <t>Services Growth</t>
  </si>
  <si>
    <t>PE</t>
  </si>
  <si>
    <t xml:space="preserve"> </t>
  </si>
  <si>
    <t>FCF Margin</t>
  </si>
  <si>
    <t>Questions</t>
  </si>
  <si>
    <t>How is AAPL navigating AI and the stagnant revenue?</t>
  </si>
  <si>
    <t>Is management finding new revenue streams or planning on expanding current ones?</t>
  </si>
  <si>
    <t>Have products hit a revenue ceiling and do they have to focus on services?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</si>
</sst>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3" fillId="0" borderId="0" xfId="0" applyFont="1"/>
    <xf numFmtId="1" fontId="1" fillId="0" borderId="0" xfId="0" applyNumberFormat="1" applyFont="1"/>
    <xf numFmtId="3" fontId="2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19050</xdr:rowOff>
    </xdr:from>
    <xdr:to>
      <xdr:col>6</xdr:col>
      <xdr:colOff>9525</xdr:colOff>
      <xdr:row>46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488A1C5-792A-FA43-7307-02550AA1F6F2}"/>
            </a:ext>
          </a:extLst>
        </xdr:cNvPr>
        <xdr:cNvCxnSpPr/>
      </xdr:nvCxnSpPr>
      <xdr:spPr>
        <a:xfrm flipH="1">
          <a:off x="4248150" y="19050"/>
          <a:ext cx="9525" cy="61150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600075</xdr:colOff>
      <xdr:row>0</xdr:row>
      <xdr:rowOff>9525</xdr:rowOff>
    </xdr:from>
    <xdr:to>
      <xdr:col>13</xdr:col>
      <xdr:colOff>0</xdr:colOff>
      <xdr:row>46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FD3EAB1-497D-4C1C-8139-70629C3212F8}"/>
            </a:ext>
          </a:extLst>
        </xdr:cNvPr>
        <xdr:cNvCxnSpPr/>
      </xdr:nvCxnSpPr>
      <xdr:spPr>
        <a:xfrm flipH="1">
          <a:off x="8505825" y="9525"/>
          <a:ext cx="9525" cy="93535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B79C5-ED94-49D4-91A8-403BB18825CC}">
  <dimension ref="A1:Q14"/>
  <sheetViews>
    <sheetView zoomScale="115" zoomScaleNormal="115" workbookViewId="0">
      <selection activeCell="P3" sqref="P3"/>
    </sheetView>
  </sheetViews>
  <sheetFormatPr defaultRowHeight="12.75" x14ac:dyDescent="0.2"/>
  <cols>
    <col min="1" max="4" width="9.140625" style="2"/>
    <col min="5" max="5" width="9.7109375" style="2" customWidth="1"/>
    <col min="6" max="6" width="11.140625" style="2" customWidth="1"/>
    <col min="7" max="16384" width="9.140625" style="2"/>
  </cols>
  <sheetData>
    <row r="1" spans="1:17" x14ac:dyDescent="0.2">
      <c r="A1" s="1"/>
    </row>
    <row r="2" spans="1:17" x14ac:dyDescent="0.2">
      <c r="O2" s="2" t="s">
        <v>0</v>
      </c>
      <c r="P2" s="3">
        <v>230</v>
      </c>
    </row>
    <row r="3" spans="1:17" x14ac:dyDescent="0.2">
      <c r="O3" s="2" t="s">
        <v>1</v>
      </c>
      <c r="P3" s="4">
        <v>15115.823</v>
      </c>
      <c r="Q3" s="2" t="s">
        <v>7</v>
      </c>
    </row>
    <row r="4" spans="1:17" x14ac:dyDescent="0.2">
      <c r="O4" s="2" t="s">
        <v>2</v>
      </c>
      <c r="P4" s="4">
        <f>P3*P2</f>
        <v>3476639.29</v>
      </c>
    </row>
    <row r="5" spans="1:17" x14ac:dyDescent="0.2">
      <c r="O5" s="2" t="s">
        <v>3</v>
      </c>
      <c r="P5" s="4">
        <f>30299+23476</f>
        <v>53775</v>
      </c>
      <c r="Q5" s="2" t="s">
        <v>7</v>
      </c>
    </row>
    <row r="6" spans="1:17" x14ac:dyDescent="0.2">
      <c r="O6" s="2" t="s">
        <v>4</v>
      </c>
      <c r="P6" s="4">
        <v>83956</v>
      </c>
      <c r="Q6" s="2" t="s">
        <v>7</v>
      </c>
    </row>
    <row r="7" spans="1:17" x14ac:dyDescent="0.2">
      <c r="O7" s="2" t="s">
        <v>5</v>
      </c>
      <c r="P7" s="4">
        <f>P4+P6-P5</f>
        <v>3506820.29</v>
      </c>
    </row>
    <row r="8" spans="1:17" x14ac:dyDescent="0.2">
      <c r="O8" s="2" t="s">
        <v>48</v>
      </c>
      <c r="P8" s="2">
        <f>P2/Model!M16</f>
        <v>37.806851156439365</v>
      </c>
    </row>
    <row r="11" spans="1:17" x14ac:dyDescent="0.2">
      <c r="K11" s="5" t="s">
        <v>51</v>
      </c>
    </row>
    <row r="12" spans="1:17" x14ac:dyDescent="0.2">
      <c r="K12" s="2" t="s">
        <v>52</v>
      </c>
    </row>
    <row r="13" spans="1:17" x14ac:dyDescent="0.2">
      <c r="K13" s="2" t="s">
        <v>53</v>
      </c>
    </row>
    <row r="14" spans="1:17" x14ac:dyDescent="0.2">
      <c r="K14" s="2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0A3AD-F548-451C-B2BF-0C6E206F237A}">
  <dimension ref="A1:FK46"/>
  <sheetViews>
    <sheetView tabSelected="1" zoomScale="130" zoomScaleNormal="130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Z20" sqref="Z20"/>
    </sheetView>
  </sheetViews>
  <sheetFormatPr defaultRowHeight="12.75" x14ac:dyDescent="0.2"/>
  <cols>
    <col min="1" max="1" width="22.28515625" style="4" customWidth="1"/>
    <col min="2" max="8" width="9.140625" style="4"/>
    <col min="9" max="18" width="9.28515625" style="4" bestFit="1" customWidth="1"/>
    <col min="19" max="19" width="10.7109375" style="4" bestFit="1" customWidth="1"/>
    <col min="20" max="20" width="9.28515625" style="4" bestFit="1" customWidth="1"/>
    <col min="21" max="22" width="10.7109375" style="4" bestFit="1" customWidth="1"/>
    <col min="23" max="23" width="10.140625" style="4" bestFit="1" customWidth="1"/>
    <col min="24" max="25" width="9.28515625" style="4" bestFit="1" customWidth="1"/>
    <col min="26" max="26" width="10.85546875" style="4" customWidth="1"/>
    <col min="27" max="167" width="9.28515625" style="4" bestFit="1" customWidth="1"/>
    <col min="168" max="16384" width="9.140625" style="4"/>
  </cols>
  <sheetData>
    <row r="1" spans="1:167" x14ac:dyDescent="0.2">
      <c r="B1" s="4" t="s">
        <v>29</v>
      </c>
      <c r="C1" s="4" t="s">
        <v>30</v>
      </c>
      <c r="D1" s="4" t="s">
        <v>31</v>
      </c>
      <c r="E1" s="4" t="s">
        <v>6</v>
      </c>
      <c r="F1" s="4" t="s">
        <v>7</v>
      </c>
      <c r="G1" s="4" t="s">
        <v>32</v>
      </c>
      <c r="I1" s="6">
        <v>2020</v>
      </c>
      <c r="J1" s="6">
        <f>I1+1</f>
        <v>2021</v>
      </c>
      <c r="K1" s="6">
        <f t="shared" ref="K1:R1" si="0">J1+1</f>
        <v>2022</v>
      </c>
      <c r="L1" s="6">
        <f t="shared" si="0"/>
        <v>2023</v>
      </c>
      <c r="M1" s="6">
        <f t="shared" si="0"/>
        <v>2024</v>
      </c>
      <c r="N1" s="6">
        <f t="shared" si="0"/>
        <v>2025</v>
      </c>
      <c r="O1" s="6">
        <f t="shared" si="0"/>
        <v>2026</v>
      </c>
      <c r="P1" s="6">
        <f t="shared" si="0"/>
        <v>2027</v>
      </c>
      <c r="Q1" s="6">
        <f t="shared" si="0"/>
        <v>2028</v>
      </c>
      <c r="R1" s="6">
        <f t="shared" si="0"/>
        <v>2029</v>
      </c>
      <c r="S1" s="6">
        <f t="shared" ref="S1" si="1">R1+1</f>
        <v>2030</v>
      </c>
      <c r="T1" s="6">
        <f t="shared" ref="T1" si="2">S1+1</f>
        <v>2031</v>
      </c>
      <c r="U1" s="6">
        <f t="shared" ref="U1" si="3">T1+1</f>
        <v>2032</v>
      </c>
      <c r="V1" s="6">
        <f t="shared" ref="V1" si="4">U1+1</f>
        <v>2033</v>
      </c>
      <c r="W1" s="6">
        <f t="shared" ref="W1" si="5">V1+1</f>
        <v>2034</v>
      </c>
    </row>
    <row r="2" spans="1:167" x14ac:dyDescent="0.2">
      <c r="A2" s="4" t="s">
        <v>8</v>
      </c>
      <c r="K2" s="4">
        <v>316199</v>
      </c>
      <c r="L2" s="4">
        <v>298085</v>
      </c>
      <c r="M2" s="4">
        <v>294866</v>
      </c>
      <c r="N2" s="4">
        <f>M2*1.01</f>
        <v>297814.65999999997</v>
      </c>
      <c r="O2" s="4">
        <f t="shared" ref="O2:W2" si="6">N2*1.01</f>
        <v>300792.80659999995</v>
      </c>
      <c r="P2" s="4">
        <f t="shared" si="6"/>
        <v>303800.73466599995</v>
      </c>
      <c r="Q2" s="4">
        <f t="shared" si="6"/>
        <v>306838.74201265996</v>
      </c>
      <c r="R2" s="4">
        <f t="shared" si="6"/>
        <v>309907.12943278655</v>
      </c>
      <c r="S2" s="4">
        <f t="shared" si="6"/>
        <v>313006.2007271144</v>
      </c>
      <c r="T2" s="4">
        <f t="shared" si="6"/>
        <v>316136.26273438556</v>
      </c>
      <c r="U2" s="4">
        <f t="shared" si="6"/>
        <v>319297.62536172941</v>
      </c>
      <c r="V2" s="4">
        <f t="shared" si="6"/>
        <v>322490.60161534674</v>
      </c>
      <c r="W2" s="4">
        <f t="shared" si="6"/>
        <v>325715.50763150019</v>
      </c>
    </row>
    <row r="3" spans="1:167" x14ac:dyDescent="0.2">
      <c r="A3" s="4" t="s">
        <v>9</v>
      </c>
      <c r="K3" s="4">
        <v>78129</v>
      </c>
      <c r="L3" s="4">
        <v>85200</v>
      </c>
      <c r="M3" s="4">
        <v>96169</v>
      </c>
      <c r="N3" s="4">
        <f t="shared" ref="N3:R3" si="7">M3*1.1</f>
        <v>105785.90000000001</v>
      </c>
      <c r="O3" s="4">
        <f t="shared" si="7"/>
        <v>116364.49000000002</v>
      </c>
      <c r="P3" s="4">
        <f t="shared" si="7"/>
        <v>128000.93900000003</v>
      </c>
      <c r="Q3" s="4">
        <f t="shared" si="7"/>
        <v>140801.03290000005</v>
      </c>
      <c r="R3" s="4">
        <f t="shared" si="7"/>
        <v>154881.13619000008</v>
      </c>
      <c r="S3" s="4">
        <f t="shared" ref="S3" si="8">R3*1.1</f>
        <v>170369.24980900009</v>
      </c>
      <c r="T3" s="4">
        <f>S3*1.05</f>
        <v>178887.7122994501</v>
      </c>
      <c r="U3" s="4">
        <f t="shared" ref="U3:W3" si="9">T3*1.05</f>
        <v>187832.0979144226</v>
      </c>
      <c r="V3" s="4">
        <f t="shared" si="9"/>
        <v>197223.70281014373</v>
      </c>
      <c r="W3" s="4">
        <f t="shared" si="9"/>
        <v>207084.88795065094</v>
      </c>
    </row>
    <row r="4" spans="1:167" s="7" customFormat="1" x14ac:dyDescent="0.2">
      <c r="A4" s="7" t="s">
        <v>10</v>
      </c>
      <c r="K4" s="7">
        <f>SUM(K2:K3)</f>
        <v>394328</v>
      </c>
      <c r="L4" s="7">
        <f t="shared" ref="L4:M4" si="10">SUM(L2:L3)</f>
        <v>383285</v>
      </c>
      <c r="M4" s="7">
        <f t="shared" si="10"/>
        <v>391035</v>
      </c>
      <c r="N4" s="7">
        <f t="shared" ref="N4" si="11">SUM(N2:N3)</f>
        <v>403600.56</v>
      </c>
      <c r="O4" s="7">
        <f t="shared" ref="O4" si="12">SUM(O2:O3)</f>
        <v>417157.2966</v>
      </c>
      <c r="P4" s="7">
        <f t="shared" ref="P4" si="13">SUM(P2:P3)</f>
        <v>431801.67366599996</v>
      </c>
      <c r="Q4" s="7">
        <f t="shared" ref="Q4" si="14">SUM(Q2:Q3)</f>
        <v>447639.77491266001</v>
      </c>
      <c r="R4" s="7">
        <f t="shared" ref="R4:W4" si="15">SUM(R2:R3)</f>
        <v>464788.2656227866</v>
      </c>
      <c r="S4" s="7">
        <f t="shared" si="15"/>
        <v>483375.45053611451</v>
      </c>
      <c r="T4" s="7">
        <f t="shared" si="15"/>
        <v>495023.97503383562</v>
      </c>
      <c r="U4" s="7">
        <f t="shared" si="15"/>
        <v>507129.72327615204</v>
      </c>
      <c r="V4" s="7">
        <f t="shared" si="15"/>
        <v>519714.30442549044</v>
      </c>
      <c r="W4" s="7">
        <f t="shared" si="15"/>
        <v>532800.39558215113</v>
      </c>
    </row>
    <row r="5" spans="1:167" x14ac:dyDescent="0.2">
      <c r="A5" s="4" t="s">
        <v>11</v>
      </c>
      <c r="K5" s="4">
        <v>201471</v>
      </c>
      <c r="L5" s="4">
        <v>189282</v>
      </c>
      <c r="M5" s="4">
        <v>185233</v>
      </c>
      <c r="N5" s="4">
        <f t="shared" ref="N5:W5" si="16">N2*(1-N28)</f>
        <v>186531.68335000001</v>
      </c>
      <c r="O5" s="4">
        <f t="shared" si="16"/>
        <v>187835.02115141752</v>
      </c>
      <c r="P5" s="4">
        <f t="shared" si="16"/>
        <v>189142.93454641633</v>
      </c>
      <c r="Q5" s="4">
        <f t="shared" si="16"/>
        <v>190455.34200127661</v>
      </c>
      <c r="R5" s="4">
        <f t="shared" si="16"/>
        <v>191772.1592512319</v>
      </c>
      <c r="S5" s="4">
        <f t="shared" si="16"/>
        <v>193093.29924432738</v>
      </c>
      <c r="T5" s="4">
        <f t="shared" si="16"/>
        <v>194418.67208428259</v>
      </c>
      <c r="U5" s="4">
        <f t="shared" si="16"/>
        <v>195748.18497234242</v>
      </c>
      <c r="V5" s="4">
        <f t="shared" si="16"/>
        <v>197081.7421480995</v>
      </c>
      <c r="W5" s="4">
        <f t="shared" si="16"/>
        <v>198419.2448292709</v>
      </c>
    </row>
    <row r="6" spans="1:167" x14ac:dyDescent="0.2">
      <c r="A6" s="4" t="s">
        <v>12</v>
      </c>
      <c r="K6" s="4">
        <v>22075</v>
      </c>
      <c r="L6" s="4">
        <v>24855</v>
      </c>
      <c r="M6" s="4">
        <v>25119</v>
      </c>
      <c r="N6" s="4">
        <f t="shared" ref="N6:W6" si="17">N3*(1-N29)</f>
        <v>26849.350000000009</v>
      </c>
      <c r="O6" s="4">
        <f t="shared" si="17"/>
        <v>28665.982950000016</v>
      </c>
      <c r="P6" s="4">
        <f t="shared" si="17"/>
        <v>30567.897667450023</v>
      </c>
      <c r="Q6" s="4">
        <f t="shared" si="17"/>
        <v>32552.923979536969</v>
      </c>
      <c r="R6" s="4">
        <f t="shared" si="17"/>
        <v>34617.487179365584</v>
      </c>
      <c r="S6" s="4">
        <f t="shared" si="17"/>
        <v>36756.335758185167</v>
      </c>
      <c r="T6" s="4">
        <f t="shared" si="17"/>
        <v>37191.216948560861</v>
      </c>
      <c r="U6" s="4">
        <f t="shared" si="17"/>
        <v>37562.964594804573</v>
      </c>
      <c r="V6" s="4">
        <f t="shared" si="17"/>
        <v>37863.286924688808</v>
      </c>
      <c r="W6" s="4">
        <f t="shared" si="17"/>
        <v>38083.166904125967</v>
      </c>
    </row>
    <row r="7" spans="1:167" x14ac:dyDescent="0.2">
      <c r="A7" s="4" t="s">
        <v>13</v>
      </c>
      <c r="K7" s="4">
        <f>K4-SUM(K5:K6)</f>
        <v>170782</v>
      </c>
      <c r="L7" s="4">
        <f t="shared" ref="L7:M7" si="18">L4-SUM(L5:L6)</f>
        <v>169148</v>
      </c>
      <c r="M7" s="4">
        <f t="shared" si="18"/>
        <v>180683</v>
      </c>
      <c r="N7" s="4">
        <f t="shared" ref="N7" si="19">N4-SUM(N5:N6)</f>
        <v>190219.52664999999</v>
      </c>
      <c r="O7" s="4">
        <f t="shared" ref="O7" si="20">O4-SUM(O5:O6)</f>
        <v>200656.29249858248</v>
      </c>
      <c r="P7" s="4">
        <f t="shared" ref="P7" si="21">P4-SUM(P5:P6)</f>
        <v>212090.84145213361</v>
      </c>
      <c r="Q7" s="4">
        <f t="shared" ref="Q7" si="22">Q4-SUM(Q5:Q6)</f>
        <v>224631.50893184642</v>
      </c>
      <c r="R7" s="4">
        <f t="shared" ref="R7:W7" si="23">R4-SUM(R5:R6)</f>
        <v>238398.6191921891</v>
      </c>
      <c r="S7" s="4">
        <f t="shared" si="23"/>
        <v>253525.81553360197</v>
      </c>
      <c r="T7" s="4">
        <f t="shared" si="23"/>
        <v>263414.08600099216</v>
      </c>
      <c r="U7" s="4">
        <f t="shared" si="23"/>
        <v>273818.57370900502</v>
      </c>
      <c r="V7" s="4">
        <f t="shared" si="23"/>
        <v>284769.27535270213</v>
      </c>
      <c r="W7" s="4">
        <f t="shared" si="23"/>
        <v>296297.98384875426</v>
      </c>
    </row>
    <row r="8" spans="1:167" x14ac:dyDescent="0.2">
      <c r="A8" s="4" t="s">
        <v>14</v>
      </c>
      <c r="K8" s="4">
        <v>26251</v>
      </c>
      <c r="L8" s="4">
        <v>29915</v>
      </c>
      <c r="M8" s="4">
        <v>31370</v>
      </c>
      <c r="N8" s="4">
        <f>M8*(1+N19)</f>
        <v>32378.046894012045</v>
      </c>
      <c r="O8" s="4">
        <f t="shared" ref="O8:R8" si="24">N8*(1+O19)</f>
        <v>33465.608946365413</v>
      </c>
      <c r="P8" s="4">
        <f t="shared" si="24"/>
        <v>34640.424777583641</v>
      </c>
      <c r="Q8" s="4">
        <f t="shared" si="24"/>
        <v>35911.004741289507</v>
      </c>
      <c r="R8" s="4">
        <f t="shared" si="24"/>
        <v>37286.708076225441</v>
      </c>
      <c r="S8" s="4">
        <f t="shared" ref="S8" si="25">R8*(1+S19)</f>
        <v>38777.827773263038</v>
      </c>
      <c r="T8" s="4">
        <f t="shared" ref="T8" si="26">S8*(1+T19)</f>
        <v>39712.30733006361</v>
      </c>
      <c r="U8" s="4">
        <f t="shared" ref="U8" si="27">T8*(1+U19)</f>
        <v>40683.466746385595</v>
      </c>
      <c r="V8" s="4">
        <f t="shared" ref="V8" si="28">U8*(1+V19)</f>
        <v>41693.039574021859</v>
      </c>
      <c r="W8" s="4">
        <f t="shared" ref="W8" si="29">V8*(1+W19)</f>
        <v>42742.845037943116</v>
      </c>
    </row>
    <row r="9" spans="1:167" x14ac:dyDescent="0.2">
      <c r="A9" s="4" t="s">
        <v>15</v>
      </c>
      <c r="K9" s="4">
        <v>25094</v>
      </c>
      <c r="L9" s="4">
        <v>24932</v>
      </c>
      <c r="M9" s="4">
        <v>26097</v>
      </c>
      <c r="N9" s="4">
        <f>M9*(1+N19)</f>
        <v>26935.603754957996</v>
      </c>
      <c r="O9" s="4">
        <f t="shared" ref="O9:R9" si="30">N9*(1+O19)</f>
        <v>27840.356922961371</v>
      </c>
      <c r="P9" s="4">
        <f t="shared" si="30"/>
        <v>28817.697335690158</v>
      </c>
      <c r="Q9" s="4">
        <f t="shared" si="30"/>
        <v>29874.704836896151</v>
      </c>
      <c r="R9" s="4">
        <f t="shared" si="30"/>
        <v>31019.165465899117</v>
      </c>
      <c r="S9" s="4">
        <f t="shared" ref="S9" si="31">R9*(1+S19)</f>
        <v>32259.642059255515</v>
      </c>
      <c r="T9" s="4">
        <f t="shared" ref="T9" si="32">S9*(1+T19)</f>
        <v>33037.044449877911</v>
      </c>
      <c r="U9" s="4">
        <f t="shared" ref="U9" si="33">T9*(1+U19)</f>
        <v>33844.961162908032</v>
      </c>
      <c r="V9" s="4">
        <f t="shared" ref="V9" si="34">U9*(1+V19)</f>
        <v>34684.834356495012</v>
      </c>
      <c r="W9" s="4">
        <f t="shared" ref="W9" si="35">V9*(1+W19)</f>
        <v>35558.177461115767</v>
      </c>
    </row>
    <row r="10" spans="1:167" x14ac:dyDescent="0.2">
      <c r="A10" s="4" t="s">
        <v>16</v>
      </c>
      <c r="K10" s="4">
        <f>SUM(K8:K9)</f>
        <v>51345</v>
      </c>
      <c r="L10" s="4">
        <f t="shared" ref="L10:M10" si="36">SUM(L8:L9)</f>
        <v>54847</v>
      </c>
      <c r="M10" s="4">
        <f t="shared" si="36"/>
        <v>57467</v>
      </c>
      <c r="N10" s="4">
        <f t="shared" ref="N10" si="37">SUM(N8:N9)</f>
        <v>59313.65064897004</v>
      </c>
      <c r="O10" s="4">
        <f t="shared" ref="O10" si="38">SUM(O8:O9)</f>
        <v>61305.965869326785</v>
      </c>
      <c r="P10" s="4">
        <f t="shared" ref="P10" si="39">SUM(P8:P9)</f>
        <v>63458.122113273799</v>
      </c>
      <c r="Q10" s="4">
        <f t="shared" ref="Q10" si="40">SUM(Q8:Q9)</f>
        <v>65785.709578185662</v>
      </c>
      <c r="R10" s="4">
        <f t="shared" ref="R10:W10" si="41">SUM(R8:R9)</f>
        <v>68305.873542124551</v>
      </c>
      <c r="S10" s="4">
        <f t="shared" si="41"/>
        <v>71037.469832518545</v>
      </c>
      <c r="T10" s="4">
        <f t="shared" si="41"/>
        <v>72749.351779941528</v>
      </c>
      <c r="U10" s="4">
        <f t="shared" si="41"/>
        <v>74528.427909293619</v>
      </c>
      <c r="V10" s="4">
        <f t="shared" si="41"/>
        <v>76377.873930516871</v>
      </c>
      <c r="W10" s="4">
        <f t="shared" si="41"/>
        <v>78301.02249905889</v>
      </c>
    </row>
    <row r="11" spans="1:167" x14ac:dyDescent="0.2">
      <c r="A11" s="4" t="s">
        <v>17</v>
      </c>
      <c r="K11" s="4">
        <f>K7-K10</f>
        <v>119437</v>
      </c>
      <c r="L11" s="4">
        <f t="shared" ref="L11:M11" si="42">L7-L10</f>
        <v>114301</v>
      </c>
      <c r="M11" s="4">
        <f t="shared" si="42"/>
        <v>123216</v>
      </c>
      <c r="N11" s="4">
        <f t="shared" ref="N11" si="43">N7-N10</f>
        <v>130905.87600102994</v>
      </c>
      <c r="O11" s="4">
        <f t="shared" ref="O11" si="44">O7-O10</f>
        <v>139350.32662925569</v>
      </c>
      <c r="P11" s="4">
        <f t="shared" ref="P11" si="45">P7-P10</f>
        <v>148632.71933885981</v>
      </c>
      <c r="Q11" s="4">
        <f t="shared" ref="Q11" si="46">Q7-Q10</f>
        <v>158845.79935366075</v>
      </c>
      <c r="R11" s="4">
        <f t="shared" ref="R11:W11" si="47">R7-R10</f>
        <v>170092.74565006455</v>
      </c>
      <c r="S11" s="4">
        <f t="shared" si="47"/>
        <v>182488.34570108342</v>
      </c>
      <c r="T11" s="4">
        <f t="shared" si="47"/>
        <v>190664.73422105063</v>
      </c>
      <c r="U11" s="4">
        <f t="shared" si="47"/>
        <v>199290.1457997114</v>
      </c>
      <c r="V11" s="4">
        <f t="shared" si="47"/>
        <v>208391.40142218524</v>
      </c>
      <c r="W11" s="4">
        <f t="shared" si="47"/>
        <v>217996.96134969537</v>
      </c>
    </row>
    <row r="12" spans="1:167" x14ac:dyDescent="0.2">
      <c r="A12" s="4" t="s">
        <v>18</v>
      </c>
      <c r="K12" s="4">
        <v>-334</v>
      </c>
      <c r="L12" s="4">
        <v>-565</v>
      </c>
      <c r="M12" s="4">
        <v>269</v>
      </c>
      <c r="N12" s="4">
        <f t="shared" ref="N12:W12" si="48">M37*$Z$18</f>
        <v>-603.62</v>
      </c>
      <c r="O12" s="4">
        <f t="shared" si="48"/>
        <v>1481.2160960164792</v>
      </c>
      <c r="P12" s="4">
        <f t="shared" si="48"/>
        <v>3734.5207796208342</v>
      </c>
      <c r="Q12" s="4">
        <f t="shared" si="48"/>
        <v>6172.3966215165237</v>
      </c>
      <c r="R12" s="4">
        <f t="shared" si="48"/>
        <v>8812.68775711936</v>
      </c>
      <c r="S12" s="4">
        <f t="shared" si="48"/>
        <v>11675.174691634304</v>
      </c>
      <c r="T12" s="4">
        <f t="shared" si="48"/>
        <v>14781.791017917789</v>
      </c>
      <c r="U12" s="4">
        <f t="shared" si="48"/>
        <v>18068.935421741284</v>
      </c>
      <c r="V12" s="4">
        <f t="shared" si="48"/>
        <v>21546.680721284527</v>
      </c>
      <c r="W12" s="4">
        <f t="shared" si="48"/>
        <v>25225.690035580043</v>
      </c>
    </row>
    <row r="13" spans="1:167" x14ac:dyDescent="0.2">
      <c r="A13" s="4" t="s">
        <v>19</v>
      </c>
      <c r="K13" s="4">
        <f>K11+K12</f>
        <v>119103</v>
      </c>
      <c r="L13" s="4">
        <f t="shared" ref="L13:M13" si="49">L11+L12</f>
        <v>113736</v>
      </c>
      <c r="M13" s="4">
        <f t="shared" si="49"/>
        <v>123485</v>
      </c>
      <c r="N13" s="4">
        <f t="shared" ref="N13" si="50">N11+N12</f>
        <v>130302.25600102995</v>
      </c>
      <c r="O13" s="4">
        <f t="shared" ref="O13" si="51">O11+O12</f>
        <v>140831.54272527219</v>
      </c>
      <c r="P13" s="4">
        <f t="shared" ref="P13" si="52">P11+P12</f>
        <v>152367.24011848064</v>
      </c>
      <c r="Q13" s="4">
        <f t="shared" ref="Q13" si="53">Q11+Q12</f>
        <v>165018.19597517728</v>
      </c>
      <c r="R13" s="4">
        <f t="shared" ref="R13:W13" si="54">R11+R12</f>
        <v>178905.43340718391</v>
      </c>
      <c r="S13" s="4">
        <f t="shared" si="54"/>
        <v>194163.52039271774</v>
      </c>
      <c r="T13" s="4">
        <f t="shared" si="54"/>
        <v>205446.52523896843</v>
      </c>
      <c r="U13" s="4">
        <f t="shared" si="54"/>
        <v>217359.08122145268</v>
      </c>
      <c r="V13" s="4">
        <f t="shared" si="54"/>
        <v>229938.08214346977</v>
      </c>
      <c r="W13" s="4">
        <f t="shared" si="54"/>
        <v>243222.65138527541</v>
      </c>
    </row>
    <row r="14" spans="1:167" x14ac:dyDescent="0.2">
      <c r="A14" s="4" t="s">
        <v>41</v>
      </c>
      <c r="K14" s="4">
        <v>19300</v>
      </c>
      <c r="L14" s="4">
        <v>16741</v>
      </c>
      <c r="M14" s="4">
        <v>29749</v>
      </c>
      <c r="N14" s="4">
        <f>N13*0.2</f>
        <v>26060.451200205993</v>
      </c>
      <c r="O14" s="4">
        <f t="shared" ref="O14:W14" si="55">O13*0.2</f>
        <v>28166.308545054439</v>
      </c>
      <c r="P14" s="4">
        <f t="shared" si="55"/>
        <v>30473.448023696128</v>
      </c>
      <c r="Q14" s="4">
        <f t="shared" si="55"/>
        <v>33003.639195035459</v>
      </c>
      <c r="R14" s="4">
        <f t="shared" si="55"/>
        <v>35781.086681436784</v>
      </c>
      <c r="S14" s="4">
        <f t="shared" si="55"/>
        <v>38832.704078543546</v>
      </c>
      <c r="T14" s="4">
        <f t="shared" si="55"/>
        <v>41089.305047793692</v>
      </c>
      <c r="U14" s="4">
        <f t="shared" si="55"/>
        <v>43471.816244290538</v>
      </c>
      <c r="V14" s="4">
        <f t="shared" si="55"/>
        <v>45987.61642869396</v>
      </c>
      <c r="W14" s="4">
        <f t="shared" si="55"/>
        <v>48644.530277055084</v>
      </c>
    </row>
    <row r="15" spans="1:167" s="7" customFormat="1" x14ac:dyDescent="0.2">
      <c r="A15" s="7" t="s">
        <v>20</v>
      </c>
      <c r="K15" s="7">
        <f>K13-K14</f>
        <v>99803</v>
      </c>
      <c r="L15" s="7">
        <f t="shared" ref="L15:N15" si="56">L13-L14</f>
        <v>96995</v>
      </c>
      <c r="M15" s="7">
        <f t="shared" si="56"/>
        <v>93736</v>
      </c>
      <c r="N15" s="7">
        <f t="shared" si="56"/>
        <v>104241.80480082396</v>
      </c>
      <c r="O15" s="7">
        <f t="shared" ref="O15" si="57">O13-O14</f>
        <v>112665.23418021775</v>
      </c>
      <c r="P15" s="7">
        <f t="shared" ref="P15" si="58">P13-P14</f>
        <v>121893.79209478451</v>
      </c>
      <c r="Q15" s="7">
        <f t="shared" ref="Q15" si="59">Q13-Q14</f>
        <v>132014.55678014184</v>
      </c>
      <c r="R15" s="7">
        <f t="shared" ref="R15:W15" si="60">R13-R14</f>
        <v>143124.34672574713</v>
      </c>
      <c r="S15" s="7">
        <f t="shared" si="60"/>
        <v>155330.81631417418</v>
      </c>
      <c r="T15" s="7">
        <f t="shared" si="60"/>
        <v>164357.22019117474</v>
      </c>
      <c r="U15" s="7">
        <f t="shared" si="60"/>
        <v>173887.26497716215</v>
      </c>
      <c r="V15" s="7">
        <f t="shared" si="60"/>
        <v>183950.46571477581</v>
      </c>
      <c r="W15" s="7">
        <f t="shared" si="60"/>
        <v>194578.12110822034</v>
      </c>
      <c r="X15" s="7">
        <f t="shared" ref="X15:BC15" si="61">W15*(1+$Z$19)</f>
        <v>196523.90231930255</v>
      </c>
      <c r="Y15" s="7">
        <f t="shared" si="61"/>
        <v>198489.14134249557</v>
      </c>
      <c r="Z15" s="7">
        <f t="shared" si="61"/>
        <v>200474.03275592052</v>
      </c>
      <c r="AA15" s="7">
        <f t="shared" si="61"/>
        <v>202478.77308347973</v>
      </c>
      <c r="AB15" s="7">
        <f t="shared" si="61"/>
        <v>204503.56081431452</v>
      </c>
      <c r="AC15" s="7">
        <f t="shared" si="61"/>
        <v>206548.59642245766</v>
      </c>
      <c r="AD15" s="7">
        <f t="shared" si="61"/>
        <v>208614.08238668225</v>
      </c>
      <c r="AE15" s="7">
        <f t="shared" si="61"/>
        <v>210700.22321054907</v>
      </c>
      <c r="AF15" s="7">
        <f t="shared" si="61"/>
        <v>212807.22544265457</v>
      </c>
      <c r="AG15" s="7">
        <f t="shared" si="61"/>
        <v>214935.29769708111</v>
      </c>
      <c r="AH15" s="7">
        <f t="shared" si="61"/>
        <v>217084.65067405193</v>
      </c>
      <c r="AI15" s="7">
        <f t="shared" si="61"/>
        <v>219255.49718079244</v>
      </c>
      <c r="AJ15" s="7">
        <f t="shared" si="61"/>
        <v>221448.05215260037</v>
      </c>
      <c r="AK15" s="7">
        <f t="shared" si="61"/>
        <v>223662.53267412639</v>
      </c>
      <c r="AL15" s="7">
        <f t="shared" si="61"/>
        <v>225899.15800086764</v>
      </c>
      <c r="AM15" s="7">
        <f t="shared" si="61"/>
        <v>228158.14958087631</v>
      </c>
      <c r="AN15" s="7">
        <f t="shared" si="61"/>
        <v>230439.73107668507</v>
      </c>
      <c r="AO15" s="7">
        <f t="shared" si="61"/>
        <v>232744.12838745193</v>
      </c>
      <c r="AP15" s="7">
        <f t="shared" si="61"/>
        <v>235071.56967132646</v>
      </c>
      <c r="AQ15" s="7">
        <f t="shared" si="61"/>
        <v>237422.28536803974</v>
      </c>
      <c r="AR15" s="7">
        <f t="shared" si="61"/>
        <v>239796.50822172014</v>
      </c>
      <c r="AS15" s="7">
        <f t="shared" si="61"/>
        <v>242194.47330393735</v>
      </c>
      <c r="AT15" s="7">
        <f t="shared" si="61"/>
        <v>244616.41803697674</v>
      </c>
      <c r="AU15" s="7">
        <f t="shared" si="61"/>
        <v>247062.5822173465</v>
      </c>
      <c r="AV15" s="7">
        <f t="shared" si="61"/>
        <v>249533.20803951996</v>
      </c>
      <c r="AW15" s="7">
        <f t="shared" si="61"/>
        <v>252028.54011991515</v>
      </c>
      <c r="AX15" s="7">
        <f t="shared" si="61"/>
        <v>254548.82552111431</v>
      </c>
      <c r="AY15" s="7">
        <f t="shared" si="61"/>
        <v>257094.31377632546</v>
      </c>
      <c r="AZ15" s="7">
        <f t="shared" si="61"/>
        <v>259665.25691408871</v>
      </c>
      <c r="BA15" s="7">
        <f t="shared" si="61"/>
        <v>262261.90948322957</v>
      </c>
      <c r="BB15" s="7">
        <f t="shared" si="61"/>
        <v>264884.52857806184</v>
      </c>
      <c r="BC15" s="7">
        <f t="shared" si="61"/>
        <v>267533.37386384245</v>
      </c>
      <c r="BD15" s="7">
        <f t="shared" ref="BD15:CI15" si="62">BC15*(1+$Z$19)</f>
        <v>270208.70760248089</v>
      </c>
      <c r="BE15" s="7">
        <f t="shared" si="62"/>
        <v>272910.79467850568</v>
      </c>
      <c r="BF15" s="7">
        <f t="shared" si="62"/>
        <v>275639.90262529074</v>
      </c>
      <c r="BG15" s="7">
        <f t="shared" si="62"/>
        <v>278396.30165154365</v>
      </c>
      <c r="BH15" s="7">
        <f t="shared" si="62"/>
        <v>281180.26466805907</v>
      </c>
      <c r="BI15" s="7">
        <f t="shared" si="62"/>
        <v>283992.06731473969</v>
      </c>
      <c r="BJ15" s="7">
        <f t="shared" si="62"/>
        <v>286831.98798788711</v>
      </c>
      <c r="BK15" s="7">
        <f t="shared" si="62"/>
        <v>289700.30786776601</v>
      </c>
      <c r="BL15" s="7">
        <f t="shared" si="62"/>
        <v>292597.3109464437</v>
      </c>
      <c r="BM15" s="7">
        <f t="shared" si="62"/>
        <v>295523.28405590815</v>
      </c>
      <c r="BN15" s="7">
        <f t="shared" si="62"/>
        <v>298478.51689646725</v>
      </c>
      <c r="BO15" s="7">
        <f t="shared" si="62"/>
        <v>301463.3020654319</v>
      </c>
      <c r="BP15" s="7">
        <f t="shared" si="62"/>
        <v>304477.93508608622</v>
      </c>
      <c r="BQ15" s="7">
        <f t="shared" si="62"/>
        <v>307522.71443694708</v>
      </c>
      <c r="BR15" s="7">
        <f t="shared" si="62"/>
        <v>310597.94158131653</v>
      </c>
      <c r="BS15" s="7">
        <f t="shared" si="62"/>
        <v>313703.9209971297</v>
      </c>
      <c r="BT15" s="7">
        <f t="shared" si="62"/>
        <v>316840.96020710102</v>
      </c>
      <c r="BU15" s="7">
        <f t="shared" si="62"/>
        <v>320009.369809172</v>
      </c>
      <c r="BV15" s="7">
        <f t="shared" si="62"/>
        <v>323209.46350726375</v>
      </c>
      <c r="BW15" s="7">
        <f t="shared" si="62"/>
        <v>326441.55814233638</v>
      </c>
      <c r="BX15" s="7">
        <f t="shared" si="62"/>
        <v>329705.97372375976</v>
      </c>
      <c r="BY15" s="7">
        <f t="shared" si="62"/>
        <v>333003.03346099734</v>
      </c>
      <c r="BZ15" s="7">
        <f t="shared" si="62"/>
        <v>336333.0637956073</v>
      </c>
      <c r="CA15" s="7">
        <f t="shared" si="62"/>
        <v>339696.3944335634</v>
      </c>
      <c r="CB15" s="7">
        <f t="shared" si="62"/>
        <v>343093.35837789904</v>
      </c>
      <c r="CC15" s="7">
        <f t="shared" si="62"/>
        <v>346524.29196167801</v>
      </c>
      <c r="CD15" s="7">
        <f t="shared" si="62"/>
        <v>349989.53488129482</v>
      </c>
      <c r="CE15" s="7">
        <f t="shared" si="62"/>
        <v>353489.4302301078</v>
      </c>
      <c r="CF15" s="7">
        <f t="shared" si="62"/>
        <v>357024.32453240891</v>
      </c>
      <c r="CG15" s="7">
        <f t="shared" si="62"/>
        <v>360594.56777773303</v>
      </c>
      <c r="CH15" s="7">
        <f t="shared" si="62"/>
        <v>364200.51345551037</v>
      </c>
      <c r="CI15" s="7">
        <f t="shared" si="62"/>
        <v>367842.51859006548</v>
      </c>
      <c r="CJ15" s="7">
        <f t="shared" ref="CJ15:DO15" si="63">CI15*(1+$Z$19)</f>
        <v>371520.94377596612</v>
      </c>
      <c r="CK15" s="7">
        <f t="shared" si="63"/>
        <v>375236.15321372577</v>
      </c>
      <c r="CL15" s="7">
        <f t="shared" si="63"/>
        <v>378988.51474586304</v>
      </c>
      <c r="CM15" s="7">
        <f t="shared" si="63"/>
        <v>382778.39989332168</v>
      </c>
      <c r="CN15" s="7">
        <f t="shared" si="63"/>
        <v>386606.18389225489</v>
      </c>
      <c r="CO15" s="7">
        <f t="shared" si="63"/>
        <v>390472.24573117745</v>
      </c>
      <c r="CP15" s="7">
        <f t="shared" si="63"/>
        <v>394376.96818848921</v>
      </c>
      <c r="CQ15" s="7">
        <f t="shared" si="63"/>
        <v>398320.73787037411</v>
      </c>
      <c r="CR15" s="7">
        <f t="shared" si="63"/>
        <v>402303.94524907786</v>
      </c>
      <c r="CS15" s="7">
        <f t="shared" si="63"/>
        <v>406326.98470156867</v>
      </c>
      <c r="CT15" s="7">
        <f t="shared" si="63"/>
        <v>410390.25454858434</v>
      </c>
      <c r="CU15" s="7">
        <f t="shared" si="63"/>
        <v>414494.15709407016</v>
      </c>
      <c r="CV15" s="7">
        <f t="shared" si="63"/>
        <v>418639.09866501088</v>
      </c>
      <c r="CW15" s="7">
        <f t="shared" si="63"/>
        <v>422825.48965166102</v>
      </c>
      <c r="CX15" s="7">
        <f t="shared" si="63"/>
        <v>427053.74454817764</v>
      </c>
      <c r="CY15" s="7">
        <f t="shared" si="63"/>
        <v>431324.28199365945</v>
      </c>
      <c r="CZ15" s="7">
        <f t="shared" si="63"/>
        <v>435637.52481359604</v>
      </c>
      <c r="DA15" s="7">
        <f t="shared" si="63"/>
        <v>439993.90006173198</v>
      </c>
      <c r="DB15" s="7">
        <f t="shared" si="63"/>
        <v>444393.83906234929</v>
      </c>
      <c r="DC15" s="7">
        <f t="shared" si="63"/>
        <v>448837.77745297278</v>
      </c>
      <c r="DD15" s="7">
        <f t="shared" si="63"/>
        <v>453326.15522750252</v>
      </c>
      <c r="DE15" s="7">
        <f t="shared" si="63"/>
        <v>457859.41677977756</v>
      </c>
      <c r="DF15" s="7">
        <f t="shared" si="63"/>
        <v>462438.01094757533</v>
      </c>
      <c r="DG15" s="7">
        <f t="shared" si="63"/>
        <v>467062.39105705108</v>
      </c>
      <c r="DH15" s="7">
        <f t="shared" si="63"/>
        <v>471733.0149676216</v>
      </c>
      <c r="DI15" s="7">
        <f t="shared" si="63"/>
        <v>476450.34511729784</v>
      </c>
      <c r="DJ15" s="7">
        <f t="shared" si="63"/>
        <v>481214.8485684708</v>
      </c>
      <c r="DK15" s="7">
        <f t="shared" si="63"/>
        <v>486026.99705415551</v>
      </c>
      <c r="DL15" s="7">
        <f t="shared" si="63"/>
        <v>490887.2670246971</v>
      </c>
      <c r="DM15" s="7">
        <f t="shared" si="63"/>
        <v>495796.13969494408</v>
      </c>
      <c r="DN15" s="7">
        <f t="shared" si="63"/>
        <v>500754.10109189351</v>
      </c>
      <c r="DO15" s="7">
        <f t="shared" si="63"/>
        <v>505761.64210281242</v>
      </c>
      <c r="DP15" s="7">
        <f t="shared" ref="DP15:EU15" si="64">DO15*(1+$Z$19)</f>
        <v>510819.25852384057</v>
      </c>
      <c r="DQ15" s="7">
        <f t="shared" si="64"/>
        <v>515927.451109079</v>
      </c>
      <c r="DR15" s="7">
        <f t="shared" si="64"/>
        <v>521086.72562016977</v>
      </c>
      <c r="DS15" s="7">
        <f t="shared" si="64"/>
        <v>526297.59287637146</v>
      </c>
      <c r="DT15" s="7">
        <f t="shared" si="64"/>
        <v>531560.5688051352</v>
      </c>
      <c r="DU15" s="7">
        <f t="shared" si="64"/>
        <v>536876.17449318653</v>
      </c>
      <c r="DV15" s="7">
        <f t="shared" si="64"/>
        <v>542244.93623811845</v>
      </c>
      <c r="DW15" s="7">
        <f t="shared" si="64"/>
        <v>547667.38560049969</v>
      </c>
      <c r="DX15" s="7">
        <f t="shared" si="64"/>
        <v>553144.05945650465</v>
      </c>
      <c r="DY15" s="7">
        <f t="shared" si="64"/>
        <v>558675.50005106966</v>
      </c>
      <c r="DZ15" s="7">
        <f t="shared" si="64"/>
        <v>564262.25505158037</v>
      </c>
      <c r="EA15" s="7">
        <f t="shared" si="64"/>
        <v>569904.87760209618</v>
      </c>
      <c r="EB15" s="7">
        <f t="shared" si="64"/>
        <v>575603.92637811718</v>
      </c>
      <c r="EC15" s="7">
        <f t="shared" si="64"/>
        <v>581359.96564189834</v>
      </c>
      <c r="ED15" s="7">
        <f t="shared" si="64"/>
        <v>587173.56529831735</v>
      </c>
      <c r="EE15" s="7">
        <f t="shared" si="64"/>
        <v>593045.30095130054</v>
      </c>
      <c r="EF15" s="7">
        <f t="shared" si="64"/>
        <v>598975.75396081351</v>
      </c>
      <c r="EG15" s="7">
        <f t="shared" si="64"/>
        <v>604965.51150042168</v>
      </c>
      <c r="EH15" s="7">
        <f t="shared" si="64"/>
        <v>611015.16661542596</v>
      </c>
      <c r="EI15" s="7">
        <f t="shared" si="64"/>
        <v>617125.31828158023</v>
      </c>
      <c r="EJ15" s="7">
        <f t="shared" si="64"/>
        <v>623296.57146439608</v>
      </c>
      <c r="EK15" s="7">
        <f t="shared" si="64"/>
        <v>629529.53717904002</v>
      </c>
      <c r="EL15" s="7">
        <f t="shared" si="64"/>
        <v>635824.83255083044</v>
      </c>
      <c r="EM15" s="7">
        <f t="shared" si="64"/>
        <v>642183.08087633876</v>
      </c>
      <c r="EN15" s="7">
        <f t="shared" si="64"/>
        <v>648604.91168510215</v>
      </c>
      <c r="EO15" s="7">
        <f t="shared" si="64"/>
        <v>655090.96080195322</v>
      </c>
      <c r="EP15" s="7">
        <f t="shared" si="64"/>
        <v>661641.87040997273</v>
      </c>
      <c r="EQ15" s="7">
        <f t="shared" si="64"/>
        <v>668258.28911407245</v>
      </c>
      <c r="ER15" s="7">
        <f t="shared" si="64"/>
        <v>674940.87200521317</v>
      </c>
      <c r="ES15" s="7">
        <f t="shared" si="64"/>
        <v>681690.28072526527</v>
      </c>
      <c r="ET15" s="7">
        <f t="shared" si="64"/>
        <v>688507.18353251799</v>
      </c>
      <c r="EU15" s="7">
        <f t="shared" si="64"/>
        <v>695392.2553678432</v>
      </c>
      <c r="EV15" s="7">
        <f t="shared" ref="EV15:FK15" si="65">EU15*(1+$Z$19)</f>
        <v>702346.17792152159</v>
      </c>
      <c r="EW15" s="7">
        <f t="shared" si="65"/>
        <v>709369.63970073685</v>
      </c>
      <c r="EX15" s="7">
        <f t="shared" si="65"/>
        <v>716463.33609774418</v>
      </c>
      <c r="EY15" s="7">
        <f t="shared" si="65"/>
        <v>723627.96945872158</v>
      </c>
      <c r="EZ15" s="7">
        <f t="shared" si="65"/>
        <v>730864.2491533088</v>
      </c>
      <c r="FA15" s="7">
        <f t="shared" si="65"/>
        <v>738172.89164484187</v>
      </c>
      <c r="FB15" s="7">
        <f t="shared" si="65"/>
        <v>745554.6205612903</v>
      </c>
      <c r="FC15" s="7">
        <f t="shared" si="65"/>
        <v>753010.16676690325</v>
      </c>
      <c r="FD15" s="7">
        <f t="shared" si="65"/>
        <v>760540.26843457227</v>
      </c>
      <c r="FE15" s="7">
        <f t="shared" si="65"/>
        <v>768145.67111891799</v>
      </c>
      <c r="FF15" s="7">
        <f t="shared" si="65"/>
        <v>775827.12783010723</v>
      </c>
      <c r="FG15" s="7">
        <f t="shared" si="65"/>
        <v>783585.39910840825</v>
      </c>
      <c r="FH15" s="7">
        <f t="shared" si="65"/>
        <v>791421.25309949229</v>
      </c>
      <c r="FI15" s="7">
        <f t="shared" si="65"/>
        <v>799335.46563048719</v>
      </c>
      <c r="FJ15" s="7">
        <f t="shared" si="65"/>
        <v>807328.82028679212</v>
      </c>
      <c r="FK15" s="7">
        <f t="shared" si="65"/>
        <v>815402.10848966008</v>
      </c>
    </row>
    <row r="16" spans="1:167" x14ac:dyDescent="0.2">
      <c r="A16" s="4" t="s">
        <v>21</v>
      </c>
      <c r="K16" s="3">
        <f>K15/K17</f>
        <v>6.1132073160273928</v>
      </c>
      <c r="L16" s="3">
        <f t="shared" ref="L16:N16" si="66">L15/L17</f>
        <v>6.1340711462450592</v>
      </c>
      <c r="M16" s="3">
        <f t="shared" si="66"/>
        <v>6.08355345564995</v>
      </c>
      <c r="N16" s="3">
        <f t="shared" si="66"/>
        <v>6.8961236306446123</v>
      </c>
      <c r="O16" s="3">
        <f t="shared" ref="O16" si="67">O15/O17</f>
        <v>7.4533761696359981</v>
      </c>
      <c r="P16" s="3">
        <f t="shared" ref="P16" si="68">P15/P17</f>
        <v>8.0638920412003507</v>
      </c>
      <c r="Q16" s="3">
        <f t="shared" ref="Q16" si="69">Q15/Q17</f>
        <v>8.7334319118908326</v>
      </c>
      <c r="R16" s="3">
        <f t="shared" ref="R16:W16" si="70">R15/R17</f>
        <v>9.4684008154106341</v>
      </c>
      <c r="S16" s="3">
        <f t="shared" si="70"/>
        <v>10.27592063470324</v>
      </c>
      <c r="T16" s="3">
        <f t="shared" si="70"/>
        <v>10.873062992271416</v>
      </c>
      <c r="U16" s="3">
        <f t="shared" si="70"/>
        <v>11.503523748158385</v>
      </c>
      <c r="V16" s="3">
        <f t="shared" si="70"/>
        <v>12.169255472001575</v>
      </c>
      <c r="W16" s="3">
        <f t="shared" si="70"/>
        <v>12.872328731689622</v>
      </c>
    </row>
    <row r="17" spans="1:26" x14ac:dyDescent="0.2">
      <c r="A17" s="4" t="s">
        <v>1</v>
      </c>
      <c r="K17" s="4">
        <v>16325.8</v>
      </c>
      <c r="L17" s="4">
        <v>15812.5</v>
      </c>
      <c r="M17" s="4">
        <v>15408.1</v>
      </c>
      <c r="N17" s="4">
        <v>15116</v>
      </c>
      <c r="O17" s="4">
        <v>15116</v>
      </c>
      <c r="P17" s="4">
        <v>15116</v>
      </c>
      <c r="Q17" s="4">
        <v>15116</v>
      </c>
      <c r="R17" s="4">
        <v>15116</v>
      </c>
      <c r="S17" s="4">
        <v>15116</v>
      </c>
      <c r="T17" s="4">
        <v>15116</v>
      </c>
      <c r="U17" s="4">
        <v>15116</v>
      </c>
      <c r="V17" s="4">
        <v>15116</v>
      </c>
      <c r="W17" s="4">
        <v>15116</v>
      </c>
    </row>
    <row r="18" spans="1:26" x14ac:dyDescent="0.2">
      <c r="M18" s="8" t="s">
        <v>49</v>
      </c>
      <c r="O18" s="3"/>
      <c r="P18" s="8"/>
      <c r="Q18" s="8"/>
      <c r="R18" s="8"/>
      <c r="S18" s="8"/>
      <c r="T18" s="8"/>
      <c r="U18" s="8"/>
      <c r="V18" s="8"/>
      <c r="W18" s="8"/>
      <c r="Y18" s="4" t="s">
        <v>34</v>
      </c>
      <c r="Z18" s="8">
        <v>0.02</v>
      </c>
    </row>
    <row r="19" spans="1:26" s="7" customFormat="1" x14ac:dyDescent="0.2">
      <c r="A19" s="7" t="s">
        <v>22</v>
      </c>
      <c r="L19" s="9">
        <f t="shared" ref="L19:R19" si="71">L4/K4-1</f>
        <v>-2.800460530319937E-2</v>
      </c>
      <c r="M19" s="9">
        <f t="shared" si="71"/>
        <v>2.021994077514111E-2</v>
      </c>
      <c r="N19" s="9">
        <f t="shared" si="71"/>
        <v>3.2134105642717348E-2</v>
      </c>
      <c r="O19" s="9">
        <f t="shared" si="71"/>
        <v>3.3589489073057699E-2</v>
      </c>
      <c r="P19" s="9">
        <f t="shared" si="71"/>
        <v>3.5105168207190784E-2</v>
      </c>
      <c r="Q19" s="9">
        <f t="shared" si="71"/>
        <v>3.6679110370727352E-2</v>
      </c>
      <c r="R19" s="9">
        <f t="shared" si="71"/>
        <v>3.8308684060688103E-2</v>
      </c>
      <c r="S19" s="9">
        <f t="shared" ref="S19" si="72">S4/R4-1</f>
        <v>3.9990650126294103E-2</v>
      </c>
      <c r="T19" s="9">
        <f t="shared" ref="T19" si="73">T4/S4-1</f>
        <v>2.4098295610175624E-2</v>
      </c>
      <c r="U19" s="9">
        <f t="shared" ref="U19" si="74">U4/T4-1</f>
        <v>2.4454872597815092E-2</v>
      </c>
      <c r="V19" s="9">
        <f t="shared" ref="V19" si="75">V4/U4-1</f>
        <v>2.4815309716101241E-2</v>
      </c>
      <c r="W19" s="9">
        <f t="shared" ref="W19" si="76">W4/V4-1</f>
        <v>2.5179393842404529E-2</v>
      </c>
      <c r="Y19" s="4" t="s">
        <v>35</v>
      </c>
      <c r="Z19" s="8">
        <v>0.01</v>
      </c>
    </row>
    <row r="20" spans="1:26" x14ac:dyDescent="0.2">
      <c r="A20" s="4" t="s">
        <v>23</v>
      </c>
      <c r="Y20" s="4" t="s">
        <v>36</v>
      </c>
      <c r="Z20" s="10">
        <v>0.08</v>
      </c>
    </row>
    <row r="21" spans="1:26" x14ac:dyDescent="0.2">
      <c r="Y21" s="4" t="s">
        <v>33</v>
      </c>
      <c r="Z21" s="7">
        <f>NPV(Z20,N35:FK35)+Main!P5-Main!P6</f>
        <v>2675215.4920932585</v>
      </c>
    </row>
    <row r="22" spans="1:26" s="7" customFormat="1" x14ac:dyDescent="0.2">
      <c r="A22" s="7" t="s">
        <v>24</v>
      </c>
      <c r="K22" s="9">
        <f t="shared" ref="K22:W22" si="77">K7/K4</f>
        <v>0.43309630561360085</v>
      </c>
      <c r="L22" s="9">
        <f t="shared" si="77"/>
        <v>0.44131129577207562</v>
      </c>
      <c r="M22" s="9">
        <f t="shared" si="77"/>
        <v>0.46206349815233932</v>
      </c>
      <c r="N22" s="9">
        <f t="shared" si="77"/>
        <v>0.47130639920321216</v>
      </c>
      <c r="O22" s="9">
        <f t="shared" si="77"/>
        <v>0.48100870854714056</v>
      </c>
      <c r="P22" s="9">
        <f t="shared" si="77"/>
        <v>0.49117651548564073</v>
      </c>
      <c r="Q22" s="9">
        <f t="shared" si="77"/>
        <v>0.50181311295600295</v>
      </c>
      <c r="R22" s="9">
        <f t="shared" si="77"/>
        <v>0.51291875639921802</v>
      </c>
      <c r="S22" s="9">
        <f t="shared" si="77"/>
        <v>0.52449046647365938</v>
      </c>
      <c r="T22" s="9">
        <f t="shared" si="77"/>
        <v>0.5321238955809916</v>
      </c>
      <c r="U22" s="9">
        <f t="shared" si="77"/>
        <v>0.53993793134444235</v>
      </c>
      <c r="V22" s="9">
        <f t="shared" si="77"/>
        <v>0.54793426489866504</v>
      </c>
      <c r="W22" s="9">
        <f t="shared" si="77"/>
        <v>0.55611442165881209</v>
      </c>
      <c r="Y22" s="4" t="s">
        <v>0</v>
      </c>
      <c r="Z22" s="3">
        <f>Z21/Main!P3</f>
        <v>176.9811337492678</v>
      </c>
    </row>
    <row r="23" spans="1:26" x14ac:dyDescent="0.2">
      <c r="A23" s="4" t="s">
        <v>25</v>
      </c>
      <c r="K23" s="8">
        <f t="shared" ref="K23:W23" si="78">K11/K4</f>
        <v>0.30288744395528594</v>
      </c>
      <c r="L23" s="8">
        <f t="shared" si="78"/>
        <v>0.29821412265024722</v>
      </c>
      <c r="M23" s="8">
        <f t="shared" si="78"/>
        <v>0.31510222870075566</v>
      </c>
      <c r="N23" s="8">
        <f t="shared" si="78"/>
        <v>0.32434512975162855</v>
      </c>
      <c r="O23" s="8">
        <f t="shared" si="78"/>
        <v>0.33404743909555695</v>
      </c>
      <c r="P23" s="8">
        <f t="shared" si="78"/>
        <v>0.34421524603405712</v>
      </c>
      <c r="Q23" s="8">
        <f t="shared" si="78"/>
        <v>0.3548518435044194</v>
      </c>
      <c r="R23" s="8">
        <f t="shared" si="78"/>
        <v>0.36595748694763436</v>
      </c>
      <c r="S23" s="8">
        <f t="shared" si="78"/>
        <v>0.37752919702207577</v>
      </c>
      <c r="T23" s="8">
        <f t="shared" si="78"/>
        <v>0.38516262612940799</v>
      </c>
      <c r="U23" s="8">
        <f t="shared" si="78"/>
        <v>0.39297666189285874</v>
      </c>
      <c r="V23" s="8">
        <f t="shared" si="78"/>
        <v>0.40097299544708137</v>
      </c>
      <c r="W23" s="8">
        <f t="shared" si="78"/>
        <v>0.40915315220722837</v>
      </c>
      <c r="Y23" s="4" t="s">
        <v>37</v>
      </c>
      <c r="Z23" s="8">
        <f>Z22/Main!P2-1</f>
        <v>-0.23051680978579214</v>
      </c>
    </row>
    <row r="24" spans="1:26" x14ac:dyDescent="0.2">
      <c r="A24" s="4" t="s">
        <v>50</v>
      </c>
      <c r="K24" s="8">
        <f t="shared" ref="K24:W24" si="79">K35/K4</f>
        <v>0.28261498042238947</v>
      </c>
      <c r="L24" s="8">
        <f t="shared" si="79"/>
        <v>0.25981710737440805</v>
      </c>
      <c r="M24" s="8">
        <f t="shared" si="79"/>
        <v>0.27825386474356517</v>
      </c>
      <c r="N24" s="8">
        <f t="shared" si="79"/>
        <v>0.30993556044864939</v>
      </c>
      <c r="O24" s="8">
        <f t="shared" si="79"/>
        <v>0.3240942496228203</v>
      </c>
      <c r="P24" s="8">
        <f t="shared" si="79"/>
        <v>0.33874938295603674</v>
      </c>
      <c r="Q24" s="8">
        <f t="shared" si="79"/>
        <v>0.35389497764598643</v>
      </c>
      <c r="R24" s="8">
        <f t="shared" si="79"/>
        <v>0.36952141173522007</v>
      </c>
      <c r="S24" s="8">
        <f t="shared" si="79"/>
        <v>0.38561532111379476</v>
      </c>
      <c r="T24" s="8">
        <f t="shared" si="79"/>
        <v>0.39842244856105974</v>
      </c>
      <c r="U24" s="8">
        <f t="shared" si="79"/>
        <v>0.41146221251750303</v>
      </c>
      <c r="V24" s="8">
        <f t="shared" si="79"/>
        <v>0.42473443000908923</v>
      </c>
      <c r="W24" s="8">
        <f t="shared" si="79"/>
        <v>0.43823868613074746</v>
      </c>
      <c r="Z24" s="8"/>
    </row>
    <row r="25" spans="1:26" x14ac:dyDescent="0.2"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6" x14ac:dyDescent="0.2">
      <c r="A26" s="4" t="s">
        <v>46</v>
      </c>
      <c r="K26" s="8"/>
      <c r="L26" s="8">
        <f t="shared" ref="L26:W26" si="80">L2/K2-1</f>
        <v>-5.7286708686618226E-2</v>
      </c>
      <c r="M26" s="8">
        <f t="shared" si="80"/>
        <v>-1.0798933190197424E-2</v>
      </c>
      <c r="N26" s="8">
        <f t="shared" si="80"/>
        <v>1.0000000000000009E-2</v>
      </c>
      <c r="O26" s="8">
        <f t="shared" si="80"/>
        <v>1.0000000000000009E-2</v>
      </c>
      <c r="P26" s="8">
        <f t="shared" si="80"/>
        <v>1.0000000000000009E-2</v>
      </c>
      <c r="Q26" s="8">
        <f t="shared" si="80"/>
        <v>1.0000000000000009E-2</v>
      </c>
      <c r="R26" s="8">
        <f t="shared" si="80"/>
        <v>1.0000000000000009E-2</v>
      </c>
      <c r="S26" s="8">
        <f t="shared" si="80"/>
        <v>1.0000000000000009E-2</v>
      </c>
      <c r="T26" s="8">
        <f t="shared" si="80"/>
        <v>1.0000000000000009E-2</v>
      </c>
      <c r="U26" s="8">
        <f t="shared" si="80"/>
        <v>1.0000000000000009E-2</v>
      </c>
      <c r="V26" s="8">
        <f t="shared" si="80"/>
        <v>1.0000000000000009E-2</v>
      </c>
      <c r="W26" s="8">
        <f t="shared" si="80"/>
        <v>1.0000000000000009E-2</v>
      </c>
    </row>
    <row r="27" spans="1:26" x14ac:dyDescent="0.2">
      <c r="A27" s="4" t="s">
        <v>47</v>
      </c>
      <c r="K27" s="8"/>
      <c r="L27" s="8">
        <f t="shared" ref="L27:W27" si="81">L3/K3-1</f>
        <v>9.0504166186691215E-2</v>
      </c>
      <c r="M27" s="8">
        <f t="shared" si="81"/>
        <v>0.12874413145539898</v>
      </c>
      <c r="N27" s="8">
        <f t="shared" si="81"/>
        <v>0.10000000000000009</v>
      </c>
      <c r="O27" s="8">
        <f t="shared" si="81"/>
        <v>0.10000000000000009</v>
      </c>
      <c r="P27" s="8">
        <f t="shared" si="81"/>
        <v>0.10000000000000009</v>
      </c>
      <c r="Q27" s="8">
        <f t="shared" si="81"/>
        <v>0.10000000000000009</v>
      </c>
      <c r="R27" s="8">
        <f t="shared" si="81"/>
        <v>0.10000000000000009</v>
      </c>
      <c r="S27" s="8">
        <f t="shared" si="81"/>
        <v>0.10000000000000009</v>
      </c>
      <c r="T27" s="8">
        <f t="shared" si="81"/>
        <v>5.0000000000000044E-2</v>
      </c>
      <c r="U27" s="8">
        <f t="shared" si="81"/>
        <v>5.0000000000000044E-2</v>
      </c>
      <c r="V27" s="8">
        <f t="shared" si="81"/>
        <v>5.0000000000000044E-2</v>
      </c>
      <c r="W27" s="8">
        <f t="shared" si="81"/>
        <v>5.0000000000000044E-2</v>
      </c>
    </row>
    <row r="28" spans="1:26" x14ac:dyDescent="0.2">
      <c r="A28" s="4" t="s">
        <v>44</v>
      </c>
      <c r="K28" s="8">
        <f t="shared" ref="K28:M29" si="82">(K2-K5)/K2</f>
        <v>0.36283479707399452</v>
      </c>
      <c r="L28" s="8">
        <f t="shared" si="82"/>
        <v>0.36500662562691849</v>
      </c>
      <c r="M28" s="8">
        <f t="shared" si="82"/>
        <v>0.37180617636485724</v>
      </c>
      <c r="N28" s="8">
        <f>M28*1.005</f>
        <v>0.37366520724668151</v>
      </c>
      <c r="O28" s="8">
        <f t="shared" ref="O28:W28" si="83">N28*1.005</f>
        <v>0.37553353328291489</v>
      </c>
      <c r="P28" s="8">
        <f t="shared" si="83"/>
        <v>0.37741120094932945</v>
      </c>
      <c r="Q28" s="8">
        <f t="shared" si="83"/>
        <v>0.37929825695407604</v>
      </c>
      <c r="R28" s="8">
        <f t="shared" si="83"/>
        <v>0.38119474823884636</v>
      </c>
      <c r="S28" s="8">
        <f t="shared" si="83"/>
        <v>0.38310072198004053</v>
      </c>
      <c r="T28" s="8">
        <f t="shared" si="83"/>
        <v>0.3850162255899407</v>
      </c>
      <c r="U28" s="8">
        <f t="shared" si="83"/>
        <v>0.38694130671789034</v>
      </c>
      <c r="V28" s="8">
        <f t="shared" si="83"/>
        <v>0.38887601325147975</v>
      </c>
      <c r="W28" s="8">
        <f t="shared" si="83"/>
        <v>0.3908203933177371</v>
      </c>
    </row>
    <row r="29" spans="1:26" x14ac:dyDescent="0.2">
      <c r="A29" s="4" t="s">
        <v>45</v>
      </c>
      <c r="K29" s="8">
        <f t="shared" si="82"/>
        <v>0.71745446633132381</v>
      </c>
      <c r="L29" s="8">
        <f t="shared" si="82"/>
        <v>0.70827464788732397</v>
      </c>
      <c r="M29" s="8">
        <f t="shared" si="82"/>
        <v>0.7388035645582256</v>
      </c>
      <c r="N29" s="8">
        <f>M29*1.01</f>
        <v>0.74619160020380781</v>
      </c>
      <c r="O29" s="8">
        <f t="shared" ref="O29:R29" si="84">N29*1.01</f>
        <v>0.75365351620584586</v>
      </c>
      <c r="P29" s="8">
        <f t="shared" si="84"/>
        <v>0.7611900513679043</v>
      </c>
      <c r="Q29" s="8">
        <f t="shared" si="84"/>
        <v>0.7688019518815834</v>
      </c>
      <c r="R29" s="8">
        <f t="shared" si="84"/>
        <v>0.77648997140039921</v>
      </c>
      <c r="S29" s="8">
        <f t="shared" ref="S29" si="85">R29*1.01</f>
        <v>0.78425487111440317</v>
      </c>
      <c r="T29" s="8">
        <f t="shared" ref="T29" si="86">S29*1.01</f>
        <v>0.79209741982554727</v>
      </c>
      <c r="U29" s="8">
        <f t="shared" ref="U29" si="87">T29*1.01</f>
        <v>0.8000183940238027</v>
      </c>
      <c r="V29" s="8">
        <f t="shared" ref="V29" si="88">U29*1.01</f>
        <v>0.80801857796404075</v>
      </c>
      <c r="W29" s="8">
        <f t="shared" ref="W29" si="89">V29*1.01</f>
        <v>0.81609876374368118</v>
      </c>
    </row>
    <row r="30" spans="1:26" x14ac:dyDescent="0.2">
      <c r="A30" s="4" t="s">
        <v>9</v>
      </c>
      <c r="K30" s="8">
        <f t="shared" ref="K30:W30" si="90">K3/K4</f>
        <v>0.19813201192915542</v>
      </c>
      <c r="L30" s="8">
        <f t="shared" si="90"/>
        <v>0.222288897295746</v>
      </c>
      <c r="M30" s="8">
        <f t="shared" si="90"/>
        <v>0.24593450714130449</v>
      </c>
      <c r="N30" s="8">
        <f t="shared" si="90"/>
        <v>0.26210543414508647</v>
      </c>
      <c r="O30" s="8">
        <f t="shared" si="90"/>
        <v>0.27894631341323162</v>
      </c>
      <c r="P30" s="8">
        <f t="shared" si="90"/>
        <v>0.29643455967474824</v>
      </c>
      <c r="Q30" s="8">
        <f t="shared" si="90"/>
        <v>0.31454093400764499</v>
      </c>
      <c r="R30" s="8">
        <f t="shared" si="90"/>
        <v>0.33322944584771141</v>
      </c>
      <c r="S30" s="8">
        <f t="shared" si="90"/>
        <v>0.35245739025439243</v>
      </c>
      <c r="T30" s="8">
        <f t="shared" si="90"/>
        <v>0.36137181494537279</v>
      </c>
      <c r="U30" s="8">
        <f t="shared" si="90"/>
        <v>0.37038274290253076</v>
      </c>
      <c r="V30" s="8">
        <f t="shared" si="90"/>
        <v>0.37948484606010874</v>
      </c>
      <c r="W30" s="8">
        <f t="shared" si="90"/>
        <v>0.38867254917178651</v>
      </c>
    </row>
    <row r="31" spans="1:26" x14ac:dyDescent="0.2">
      <c r="A31" s="4" t="s">
        <v>8</v>
      </c>
      <c r="K31" s="8">
        <f t="shared" ref="K31:W31" si="91">K2/K4</f>
        <v>0.80186798807084458</v>
      </c>
      <c r="L31" s="8">
        <f t="shared" si="91"/>
        <v>0.77771110270425403</v>
      </c>
      <c r="M31" s="8">
        <f t="shared" si="91"/>
        <v>0.75406549285869551</v>
      </c>
      <c r="N31" s="8">
        <f t="shared" si="91"/>
        <v>0.73789456585491353</v>
      </c>
      <c r="O31" s="8">
        <f t="shared" si="91"/>
        <v>0.72105368658676827</v>
      </c>
      <c r="P31" s="8">
        <f t="shared" si="91"/>
        <v>0.70356544032525181</v>
      </c>
      <c r="Q31" s="8">
        <f t="shared" si="91"/>
        <v>0.68545906599235507</v>
      </c>
      <c r="R31" s="8">
        <f t="shared" si="91"/>
        <v>0.6667705541522887</v>
      </c>
      <c r="S31" s="8">
        <f t="shared" si="91"/>
        <v>0.64754260974560751</v>
      </c>
      <c r="T31" s="8">
        <f t="shared" si="91"/>
        <v>0.63862818505462726</v>
      </c>
      <c r="U31" s="8">
        <f t="shared" si="91"/>
        <v>0.62961725709746919</v>
      </c>
      <c r="V31" s="8">
        <f t="shared" si="91"/>
        <v>0.62051515393989132</v>
      </c>
      <c r="W31" s="8">
        <f t="shared" si="91"/>
        <v>0.61132745082821349</v>
      </c>
    </row>
    <row r="32" spans="1:26" x14ac:dyDescent="0.2">
      <c r="M32" s="8"/>
    </row>
    <row r="33" spans="1:163" x14ac:dyDescent="0.2">
      <c r="A33" s="4" t="s">
        <v>26</v>
      </c>
      <c r="K33" s="4">
        <v>122151</v>
      </c>
      <c r="L33" s="4">
        <v>110543</v>
      </c>
      <c r="M33" s="4">
        <v>118254</v>
      </c>
      <c r="N33" s="4" t="e">
        <f>N15*#REF!</f>
        <v>#REF!</v>
      </c>
      <c r="O33" s="4" t="e">
        <f>O15*#REF!</f>
        <v>#REF!</v>
      </c>
      <c r="P33" s="4" t="e">
        <f>P15*#REF!</f>
        <v>#REF!</v>
      </c>
      <c r="Q33" s="4" t="e">
        <f>Q15*#REF!</f>
        <v>#REF!</v>
      </c>
      <c r="R33" s="4" t="e">
        <f>R15*#REF!</f>
        <v>#REF!</v>
      </c>
      <c r="S33" s="4" t="e">
        <f>S15*#REF!</f>
        <v>#REF!</v>
      </c>
      <c r="T33" s="4" t="e">
        <f>T15*#REF!</f>
        <v>#REF!</v>
      </c>
      <c r="U33" s="4" t="e">
        <f>U15*#REF!</f>
        <v>#REF!</v>
      </c>
      <c r="V33" s="4" t="e">
        <f>V15*#REF!</f>
        <v>#REF!</v>
      </c>
      <c r="W33" s="4" t="e">
        <f>W15*#REF!</f>
        <v>#REF!</v>
      </c>
    </row>
    <row r="34" spans="1:163" x14ac:dyDescent="0.2">
      <c r="A34" s="4" t="s">
        <v>27</v>
      </c>
      <c r="K34" s="4">
        <v>10708</v>
      </c>
      <c r="L34" s="4">
        <v>10959</v>
      </c>
      <c r="M34" s="4">
        <v>9447</v>
      </c>
      <c r="N34" s="4" t="e">
        <f>N33*#REF!</f>
        <v>#REF!</v>
      </c>
      <c r="O34" s="4" t="e">
        <f>O33*#REF!</f>
        <v>#REF!</v>
      </c>
      <c r="P34" s="4" t="e">
        <f>P33*#REF!</f>
        <v>#REF!</v>
      </c>
      <c r="Q34" s="4" t="e">
        <f>Q33*#REF!</f>
        <v>#REF!</v>
      </c>
      <c r="R34" s="4" t="e">
        <f>R33*#REF!</f>
        <v>#REF!</v>
      </c>
      <c r="S34" s="4" t="e">
        <f>S33*#REF!</f>
        <v>#REF!</v>
      </c>
      <c r="T34" s="4" t="e">
        <f>T33*#REF!</f>
        <v>#REF!</v>
      </c>
      <c r="U34" s="4" t="e">
        <f>U33*#REF!</f>
        <v>#REF!</v>
      </c>
      <c r="V34" s="4" t="e">
        <f>V33*#REF!</f>
        <v>#REF!</v>
      </c>
      <c r="W34" s="4" t="e">
        <f>W33*#REF!</f>
        <v>#REF!</v>
      </c>
    </row>
    <row r="35" spans="1:163" s="7" customFormat="1" x14ac:dyDescent="0.2">
      <c r="A35" s="7" t="s">
        <v>28</v>
      </c>
      <c r="K35" s="7">
        <f>K33-K34</f>
        <v>111443</v>
      </c>
      <c r="L35" s="7">
        <f t="shared" ref="L35:M35" si="92">L33-L34</f>
        <v>99584</v>
      </c>
      <c r="M35" s="7">
        <f t="shared" si="92"/>
        <v>108807</v>
      </c>
      <c r="N35" s="7">
        <f>N15*1.2</f>
        <v>125090.16576098875</v>
      </c>
      <c r="O35" s="7">
        <f t="shared" ref="O35:W35" si="93">O15*1.2</f>
        <v>135198.28101626129</v>
      </c>
      <c r="P35" s="7">
        <f t="shared" si="93"/>
        <v>146272.55051374141</v>
      </c>
      <c r="Q35" s="7">
        <f t="shared" si="93"/>
        <v>158417.46813617021</v>
      </c>
      <c r="R35" s="7">
        <f t="shared" si="93"/>
        <v>171749.21607089657</v>
      </c>
      <c r="S35" s="7">
        <f t="shared" si="93"/>
        <v>186396.97957700901</v>
      </c>
      <c r="T35" s="7">
        <f t="shared" si="93"/>
        <v>197228.66422940968</v>
      </c>
      <c r="U35" s="7">
        <f t="shared" si="93"/>
        <v>208664.71797259458</v>
      </c>
      <c r="V35" s="7">
        <f t="shared" si="93"/>
        <v>220740.55885773097</v>
      </c>
      <c r="W35" s="7">
        <f t="shared" si="93"/>
        <v>233493.74532986441</v>
      </c>
      <c r="X35" s="7">
        <f t="shared" ref="X35:BC35" si="94">W35*(1+$Z$19)</f>
        <v>235828.68278316307</v>
      </c>
      <c r="Y35" s="7">
        <f t="shared" si="94"/>
        <v>238186.96961099471</v>
      </c>
      <c r="Z35" s="7">
        <f t="shared" si="94"/>
        <v>240568.83930710467</v>
      </c>
      <c r="AA35" s="7">
        <f t="shared" si="94"/>
        <v>242974.52770017573</v>
      </c>
      <c r="AB35" s="7">
        <f t="shared" si="94"/>
        <v>245404.27297717749</v>
      </c>
      <c r="AC35" s="7">
        <f t="shared" si="94"/>
        <v>247858.31570694927</v>
      </c>
      <c r="AD35" s="7">
        <f t="shared" si="94"/>
        <v>250336.89886401876</v>
      </c>
      <c r="AE35" s="7">
        <f t="shared" si="94"/>
        <v>252840.26785265896</v>
      </c>
      <c r="AF35" s="7">
        <f t="shared" si="94"/>
        <v>255368.67053118555</v>
      </c>
      <c r="AG35" s="7">
        <f t="shared" si="94"/>
        <v>257922.3572364974</v>
      </c>
      <c r="AH35" s="7">
        <f t="shared" si="94"/>
        <v>260501.58080886237</v>
      </c>
      <c r="AI35" s="7">
        <f t="shared" si="94"/>
        <v>263106.59661695099</v>
      </c>
      <c r="AJ35" s="7">
        <f t="shared" si="94"/>
        <v>265737.66258312052</v>
      </c>
      <c r="AK35" s="7">
        <f t="shared" si="94"/>
        <v>268395.0392089517</v>
      </c>
      <c r="AL35" s="7">
        <f t="shared" si="94"/>
        <v>271078.98960104119</v>
      </c>
      <c r="AM35" s="7">
        <f t="shared" si="94"/>
        <v>273789.77949705161</v>
      </c>
      <c r="AN35" s="7">
        <f t="shared" si="94"/>
        <v>276527.67729202216</v>
      </c>
      <c r="AO35" s="7">
        <f t="shared" si="94"/>
        <v>279292.95406494237</v>
      </c>
      <c r="AP35" s="7">
        <f t="shared" si="94"/>
        <v>282085.88360559178</v>
      </c>
      <c r="AQ35" s="7">
        <f t="shared" si="94"/>
        <v>284906.74244164769</v>
      </c>
      <c r="AR35" s="7">
        <f t="shared" si="94"/>
        <v>287755.80986606417</v>
      </c>
      <c r="AS35" s="7">
        <f t="shared" si="94"/>
        <v>290633.36796472484</v>
      </c>
      <c r="AT35" s="7">
        <f t="shared" si="94"/>
        <v>293539.70164437208</v>
      </c>
      <c r="AU35" s="7">
        <f t="shared" si="94"/>
        <v>296475.0986608158</v>
      </c>
      <c r="AV35" s="7">
        <f t="shared" si="94"/>
        <v>299439.84964742395</v>
      </c>
      <c r="AW35" s="7">
        <f t="shared" si="94"/>
        <v>302434.24814389821</v>
      </c>
      <c r="AX35" s="7">
        <f t="shared" si="94"/>
        <v>305458.59062533721</v>
      </c>
      <c r="AY35" s="7">
        <f t="shared" si="94"/>
        <v>308513.17653159058</v>
      </c>
      <c r="AZ35" s="7">
        <f t="shared" si="94"/>
        <v>311598.30829690647</v>
      </c>
      <c r="BA35" s="7">
        <f t="shared" si="94"/>
        <v>314714.29137987556</v>
      </c>
      <c r="BB35" s="7">
        <f t="shared" si="94"/>
        <v>317861.43429367431</v>
      </c>
      <c r="BC35" s="7">
        <f t="shared" si="94"/>
        <v>321040.04863661103</v>
      </c>
      <c r="BD35" s="7">
        <f t="shared" ref="BD35:CI35" si="95">BC35*(1+$Z$19)</f>
        <v>324250.44912297715</v>
      </c>
      <c r="BE35" s="7">
        <f t="shared" si="95"/>
        <v>327492.95361420693</v>
      </c>
      <c r="BF35" s="7">
        <f t="shared" si="95"/>
        <v>330767.88315034902</v>
      </c>
      <c r="BG35" s="7">
        <f t="shared" si="95"/>
        <v>334075.56198185252</v>
      </c>
      <c r="BH35" s="7">
        <f t="shared" si="95"/>
        <v>337416.31760167103</v>
      </c>
      <c r="BI35" s="7">
        <f t="shared" si="95"/>
        <v>340790.48077768774</v>
      </c>
      <c r="BJ35" s="7">
        <f t="shared" si="95"/>
        <v>344198.3855854646</v>
      </c>
      <c r="BK35" s="7">
        <f t="shared" si="95"/>
        <v>347640.36944131926</v>
      </c>
      <c r="BL35" s="7">
        <f t="shared" si="95"/>
        <v>351116.77313573245</v>
      </c>
      <c r="BM35" s="7">
        <f t="shared" si="95"/>
        <v>354627.94086708978</v>
      </c>
      <c r="BN35" s="7">
        <f t="shared" si="95"/>
        <v>358174.22027576069</v>
      </c>
      <c r="BO35" s="7">
        <f t="shared" si="95"/>
        <v>361755.96247851831</v>
      </c>
      <c r="BP35" s="7">
        <f t="shared" si="95"/>
        <v>365373.52210330352</v>
      </c>
      <c r="BQ35" s="7">
        <f t="shared" si="95"/>
        <v>369027.25732433656</v>
      </c>
      <c r="BR35" s="7">
        <f t="shared" si="95"/>
        <v>372717.52989757992</v>
      </c>
      <c r="BS35" s="7">
        <f t="shared" si="95"/>
        <v>376444.7051965557</v>
      </c>
      <c r="BT35" s="7">
        <f t="shared" si="95"/>
        <v>380209.15224852128</v>
      </c>
      <c r="BU35" s="7">
        <f t="shared" si="95"/>
        <v>384011.24377100647</v>
      </c>
      <c r="BV35" s="7">
        <f t="shared" si="95"/>
        <v>387851.35620871652</v>
      </c>
      <c r="BW35" s="7">
        <f t="shared" si="95"/>
        <v>391729.86977080366</v>
      </c>
      <c r="BX35" s="7">
        <f t="shared" si="95"/>
        <v>395647.16846851172</v>
      </c>
      <c r="BY35" s="7">
        <f t="shared" si="95"/>
        <v>399603.64015319681</v>
      </c>
      <c r="BZ35" s="7">
        <f t="shared" si="95"/>
        <v>403599.67655472877</v>
      </c>
      <c r="CA35" s="7">
        <f t="shared" si="95"/>
        <v>407635.67332027608</v>
      </c>
      <c r="CB35" s="7">
        <f t="shared" si="95"/>
        <v>411712.03005347884</v>
      </c>
      <c r="CC35" s="7">
        <f t="shared" si="95"/>
        <v>415829.1503540136</v>
      </c>
      <c r="CD35" s="7">
        <f t="shared" si="95"/>
        <v>419987.44185755373</v>
      </c>
      <c r="CE35" s="7">
        <f t="shared" si="95"/>
        <v>424187.31627612928</v>
      </c>
      <c r="CF35" s="7">
        <f t="shared" si="95"/>
        <v>428429.18943889055</v>
      </c>
      <c r="CG35" s="7">
        <f t="shared" si="95"/>
        <v>432713.48133327946</v>
      </c>
      <c r="CH35" s="7">
        <f t="shared" si="95"/>
        <v>437040.61614661227</v>
      </c>
      <c r="CI35" s="7">
        <f t="shared" si="95"/>
        <v>441411.02230807842</v>
      </c>
      <c r="CJ35" s="7">
        <f t="shared" ref="CJ35:DO35" si="96">CI35*(1+$Z$19)</f>
        <v>445825.13253115921</v>
      </c>
      <c r="CK35" s="7">
        <f t="shared" si="96"/>
        <v>450283.38385647081</v>
      </c>
      <c r="CL35" s="7">
        <f t="shared" si="96"/>
        <v>454786.21769503551</v>
      </c>
      <c r="CM35" s="7">
        <f t="shared" si="96"/>
        <v>459334.07987198589</v>
      </c>
      <c r="CN35" s="7">
        <f t="shared" si="96"/>
        <v>463927.42067070573</v>
      </c>
      <c r="CO35" s="7">
        <f t="shared" si="96"/>
        <v>468566.69487741281</v>
      </c>
      <c r="CP35" s="7">
        <f t="shared" si="96"/>
        <v>473252.36182618694</v>
      </c>
      <c r="CQ35" s="7">
        <f t="shared" si="96"/>
        <v>477984.8854444488</v>
      </c>
      <c r="CR35" s="7">
        <f t="shared" si="96"/>
        <v>482764.73429889331</v>
      </c>
      <c r="CS35" s="7">
        <f t="shared" si="96"/>
        <v>487592.38164188224</v>
      </c>
      <c r="CT35" s="7">
        <f t="shared" si="96"/>
        <v>492468.30545830104</v>
      </c>
      <c r="CU35" s="7">
        <f t="shared" si="96"/>
        <v>497392.98851288407</v>
      </c>
      <c r="CV35" s="7">
        <f t="shared" si="96"/>
        <v>502366.91839801293</v>
      </c>
      <c r="CW35" s="7">
        <f t="shared" si="96"/>
        <v>507390.58758199308</v>
      </c>
      <c r="CX35" s="7">
        <f t="shared" si="96"/>
        <v>512464.49345781299</v>
      </c>
      <c r="CY35" s="7">
        <f t="shared" si="96"/>
        <v>517589.13839239115</v>
      </c>
      <c r="CZ35" s="7">
        <f t="shared" si="96"/>
        <v>522765.02977631509</v>
      </c>
      <c r="DA35" s="7">
        <f t="shared" si="96"/>
        <v>527992.68007407826</v>
      </c>
      <c r="DB35" s="7">
        <f t="shared" si="96"/>
        <v>533272.60687481903</v>
      </c>
      <c r="DC35" s="7">
        <f t="shared" si="96"/>
        <v>538605.33294356719</v>
      </c>
      <c r="DD35" s="7">
        <f t="shared" si="96"/>
        <v>543991.38627300283</v>
      </c>
      <c r="DE35" s="7">
        <f t="shared" si="96"/>
        <v>549431.30013573286</v>
      </c>
      <c r="DF35" s="7">
        <f t="shared" si="96"/>
        <v>554925.61313709023</v>
      </c>
      <c r="DG35" s="7">
        <f t="shared" si="96"/>
        <v>560474.86926846113</v>
      </c>
      <c r="DH35" s="7">
        <f t="shared" si="96"/>
        <v>566079.6179611457</v>
      </c>
      <c r="DI35" s="7">
        <f t="shared" si="96"/>
        <v>571740.41414075717</v>
      </c>
      <c r="DJ35" s="7">
        <f t="shared" si="96"/>
        <v>577457.81828216475</v>
      </c>
      <c r="DK35" s="7">
        <f t="shared" si="96"/>
        <v>583232.39646498638</v>
      </c>
      <c r="DL35" s="7">
        <f t="shared" si="96"/>
        <v>589064.72042963619</v>
      </c>
      <c r="DM35" s="7">
        <f t="shared" si="96"/>
        <v>594955.3676339325</v>
      </c>
      <c r="DN35" s="7">
        <f t="shared" si="96"/>
        <v>600904.92131027183</v>
      </c>
      <c r="DO35" s="7">
        <f t="shared" si="96"/>
        <v>606913.9705233745</v>
      </c>
      <c r="DP35" s="7">
        <f t="shared" ref="DP35:EU35" si="97">DO35*(1+$Z$19)</f>
        <v>612983.11022860825</v>
      </c>
      <c r="DQ35" s="7">
        <f t="shared" si="97"/>
        <v>619112.94133089436</v>
      </c>
      <c r="DR35" s="7">
        <f t="shared" si="97"/>
        <v>625304.07074420329</v>
      </c>
      <c r="DS35" s="7">
        <f t="shared" si="97"/>
        <v>631557.11145164538</v>
      </c>
      <c r="DT35" s="7">
        <f t="shared" si="97"/>
        <v>637872.68256616185</v>
      </c>
      <c r="DU35" s="7">
        <f t="shared" si="97"/>
        <v>644251.40939182346</v>
      </c>
      <c r="DV35" s="7">
        <f t="shared" si="97"/>
        <v>650693.92348574172</v>
      </c>
      <c r="DW35" s="7">
        <f t="shared" si="97"/>
        <v>657200.86272059917</v>
      </c>
      <c r="DX35" s="7">
        <f t="shared" si="97"/>
        <v>663772.87134780514</v>
      </c>
      <c r="DY35" s="7">
        <f t="shared" si="97"/>
        <v>670410.60006128321</v>
      </c>
      <c r="DZ35" s="7">
        <f t="shared" si="97"/>
        <v>677114.70606189605</v>
      </c>
      <c r="EA35" s="7">
        <f t="shared" si="97"/>
        <v>683885.85312251502</v>
      </c>
      <c r="EB35" s="7">
        <f t="shared" si="97"/>
        <v>690724.71165374015</v>
      </c>
      <c r="EC35" s="7">
        <f t="shared" si="97"/>
        <v>697631.95877027756</v>
      </c>
      <c r="ED35" s="7">
        <f t="shared" si="97"/>
        <v>704608.27835798031</v>
      </c>
      <c r="EE35" s="7">
        <f t="shared" si="97"/>
        <v>711654.36114156013</v>
      </c>
      <c r="EF35" s="7">
        <f t="shared" si="97"/>
        <v>718770.9047529758</v>
      </c>
      <c r="EG35" s="7">
        <f t="shared" si="97"/>
        <v>725958.61380050553</v>
      </c>
      <c r="EH35" s="7">
        <f t="shared" si="97"/>
        <v>733218.19993851054</v>
      </c>
      <c r="EI35" s="7">
        <f t="shared" si="97"/>
        <v>740550.38193789567</v>
      </c>
      <c r="EJ35" s="7">
        <f t="shared" si="97"/>
        <v>747955.88575727458</v>
      </c>
      <c r="EK35" s="7">
        <f t="shared" si="97"/>
        <v>755435.44461484731</v>
      </c>
      <c r="EL35" s="7">
        <f t="shared" si="97"/>
        <v>762989.79906099581</v>
      </c>
      <c r="EM35" s="7">
        <f t="shared" si="97"/>
        <v>770619.69705160579</v>
      </c>
      <c r="EN35" s="7">
        <f t="shared" si="97"/>
        <v>778325.89402212191</v>
      </c>
      <c r="EO35" s="7">
        <f t="shared" si="97"/>
        <v>786109.15296234319</v>
      </c>
      <c r="EP35" s="7">
        <f t="shared" si="97"/>
        <v>793970.24449196667</v>
      </c>
      <c r="EQ35" s="7">
        <f t="shared" si="97"/>
        <v>801909.94693688629</v>
      </c>
      <c r="ER35" s="7">
        <f t="shared" si="97"/>
        <v>809929.04640625522</v>
      </c>
      <c r="ES35" s="7">
        <f t="shared" si="97"/>
        <v>818028.33687031781</v>
      </c>
      <c r="ET35" s="7">
        <f t="shared" si="97"/>
        <v>826208.62023902102</v>
      </c>
      <c r="EU35" s="7">
        <f t="shared" si="97"/>
        <v>834470.70644141128</v>
      </c>
      <c r="EV35" s="7">
        <f t="shared" ref="EV35:FG35" si="98">EU35*(1+$Z$19)</f>
        <v>842815.41350582545</v>
      </c>
      <c r="EW35" s="7">
        <f t="shared" si="98"/>
        <v>851243.56764088373</v>
      </c>
      <c r="EX35" s="7">
        <f t="shared" si="98"/>
        <v>859756.00331729255</v>
      </c>
      <c r="EY35" s="7">
        <f t="shared" si="98"/>
        <v>868353.5633504655</v>
      </c>
      <c r="EZ35" s="7">
        <f t="shared" si="98"/>
        <v>877037.09898397012</v>
      </c>
      <c r="FA35" s="7">
        <f t="shared" si="98"/>
        <v>885807.46997380978</v>
      </c>
      <c r="FB35" s="7">
        <f t="shared" si="98"/>
        <v>894665.54467354785</v>
      </c>
      <c r="FC35" s="7">
        <f t="shared" si="98"/>
        <v>903612.20012028329</v>
      </c>
      <c r="FD35" s="7">
        <f t="shared" si="98"/>
        <v>912648.32212148618</v>
      </c>
      <c r="FE35" s="7">
        <f t="shared" si="98"/>
        <v>921774.80534270103</v>
      </c>
      <c r="FF35" s="7">
        <f t="shared" si="98"/>
        <v>930992.553396128</v>
      </c>
      <c r="FG35" s="7">
        <f t="shared" si="98"/>
        <v>940302.47893008927</v>
      </c>
    </row>
    <row r="36" spans="1:163" x14ac:dyDescent="0.2"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</row>
    <row r="37" spans="1:163" x14ac:dyDescent="0.2">
      <c r="A37" s="4" t="s">
        <v>38</v>
      </c>
      <c r="M37" s="4">
        <f>M42-M46</f>
        <v>-30181</v>
      </c>
      <c r="N37" s="4">
        <f t="shared" ref="N37:W37" si="99">M37+N15</f>
        <v>74060.804800823957</v>
      </c>
      <c r="O37" s="4">
        <f t="shared" si="99"/>
        <v>186726.0389810417</v>
      </c>
      <c r="P37" s="4">
        <f t="shared" si="99"/>
        <v>308619.83107582619</v>
      </c>
      <c r="Q37" s="4">
        <f t="shared" si="99"/>
        <v>440634.38785596803</v>
      </c>
      <c r="R37" s="4">
        <f t="shared" si="99"/>
        <v>583758.73458171519</v>
      </c>
      <c r="S37" s="4">
        <f t="shared" si="99"/>
        <v>739089.55089588941</v>
      </c>
      <c r="T37" s="4">
        <f t="shared" si="99"/>
        <v>903446.77108706417</v>
      </c>
      <c r="U37" s="4">
        <f t="shared" si="99"/>
        <v>1077334.0360642264</v>
      </c>
      <c r="V37" s="4">
        <f t="shared" si="99"/>
        <v>1261284.5017790021</v>
      </c>
      <c r="W37" s="4">
        <f t="shared" si="99"/>
        <v>1455862.6228872226</v>
      </c>
    </row>
    <row r="39" spans="1:163" x14ac:dyDescent="0.2">
      <c r="A39" s="4" t="s">
        <v>42</v>
      </c>
      <c r="K39" s="4">
        <f>K15</f>
        <v>99803</v>
      </c>
      <c r="L39" s="4">
        <f>L15</f>
        <v>96995</v>
      </c>
      <c r="M39" s="4">
        <f>M15</f>
        <v>93736</v>
      </c>
      <c r="N39" s="4">
        <f t="shared" ref="N39:R39" si="100">N15</f>
        <v>104241.80480082396</v>
      </c>
      <c r="O39" s="4">
        <f t="shared" si="100"/>
        <v>112665.23418021775</v>
      </c>
      <c r="P39" s="4">
        <f t="shared" si="100"/>
        <v>121893.79209478451</v>
      </c>
      <c r="Q39" s="4">
        <f t="shared" si="100"/>
        <v>132014.55678014184</v>
      </c>
      <c r="R39" s="4">
        <f t="shared" si="100"/>
        <v>143124.34672574713</v>
      </c>
    </row>
    <row r="40" spans="1:163" x14ac:dyDescent="0.2">
      <c r="A40" s="4" t="s">
        <v>43</v>
      </c>
    </row>
    <row r="42" spans="1:163" x14ac:dyDescent="0.2">
      <c r="A42" s="4" t="s">
        <v>3</v>
      </c>
      <c r="M42" s="4">
        <f>30299+23476</f>
        <v>53775</v>
      </c>
    </row>
    <row r="43" spans="1:163" x14ac:dyDescent="0.2">
      <c r="A43" s="4" t="s">
        <v>40</v>
      </c>
    </row>
    <row r="45" spans="1:163" x14ac:dyDescent="0.2">
      <c r="A45" s="4" t="s">
        <v>39</v>
      </c>
    </row>
    <row r="46" spans="1:163" x14ac:dyDescent="0.2">
      <c r="A46" s="4" t="s">
        <v>4</v>
      </c>
      <c r="M46" s="4">
        <v>83956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2025-04-07T04:22:48Z</dcterms:created>
  <dcterms:modified xsi:type="dcterms:W3CDTF">2025-08-31T06:30:17Z</dcterms:modified>
</cp:coreProperties>
</file>