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B04F8F08-EC95-4573-AFC4-97AF42F53353}" xr6:coauthVersionLast="47" xr6:coauthVersionMax="47" xr10:uidLastSave="{00000000-0000-0000-0000-000000000000}"/>
  <bookViews>
    <workbookView xWindow="-105" yWindow="0" windowWidth="14610" windowHeight="15585" activeTab="1" xr2:uid="{84B91150-D63F-434F-B036-DDB9093FBDB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2" l="1"/>
  <c r="R36" i="2" s="1"/>
  <c r="S36" i="2" s="1"/>
  <c r="T36" i="2" s="1"/>
  <c r="P36" i="2"/>
  <c r="N5" i="2"/>
  <c r="O5" i="2"/>
  <c r="P31" i="2"/>
  <c r="Q31" i="2"/>
  <c r="R31" i="2"/>
  <c r="S31" i="2"/>
  <c r="T31" i="2"/>
  <c r="O31" i="2"/>
  <c r="N8" i="2"/>
  <c r="O8" i="2"/>
  <c r="O4" i="2"/>
  <c r="N4" i="2"/>
  <c r="P49" i="2" l="1"/>
  <c r="Q49" i="2" s="1"/>
  <c r="R49" i="2" s="1"/>
  <c r="S49" i="2" s="1"/>
  <c r="T49" i="2" s="1"/>
  <c r="P10" i="2"/>
  <c r="Q10" i="2" s="1"/>
  <c r="N58" i="2"/>
  <c r="N60" i="2" s="1"/>
  <c r="O58" i="2"/>
  <c r="O60" i="2" s="1"/>
  <c r="M58" i="2"/>
  <c r="M60" i="2" s="1"/>
  <c r="O41" i="2"/>
  <c r="O39" i="2" s="1"/>
  <c r="P21" i="2" s="1"/>
  <c r="P11" i="2"/>
  <c r="O30" i="2"/>
  <c r="N30" i="2"/>
  <c r="O29" i="2"/>
  <c r="N29" i="2"/>
  <c r="N19" i="2"/>
  <c r="N37" i="2" s="1"/>
  <c r="O19" i="2"/>
  <c r="M19" i="2"/>
  <c r="M37" i="2" s="1"/>
  <c r="N16" i="2"/>
  <c r="N36" i="2" s="1"/>
  <c r="O16" i="2"/>
  <c r="M16" i="2"/>
  <c r="M36" i="2" s="1"/>
  <c r="N15" i="2"/>
  <c r="N35" i="2" s="1"/>
  <c r="O15" i="2"/>
  <c r="O35" i="2" s="1"/>
  <c r="M15" i="2"/>
  <c r="N12" i="2"/>
  <c r="O12" i="2"/>
  <c r="M12" i="2"/>
  <c r="K1" i="2"/>
  <c r="L1" i="2" s="1"/>
  <c r="M1" i="2" s="1"/>
  <c r="N1" i="2" s="1"/>
  <c r="O1" i="2" s="1"/>
  <c r="P1" i="2" s="1"/>
  <c r="Q1" i="2" s="1"/>
  <c r="R1" i="2" s="1"/>
  <c r="S1" i="2" s="1"/>
  <c r="T1" i="2" s="1"/>
  <c r="C7" i="1"/>
  <c r="C6" i="1"/>
  <c r="C4" i="1"/>
  <c r="O37" i="2" l="1"/>
  <c r="R10" i="2"/>
  <c r="S10" i="2" s="1"/>
  <c r="T10" i="2" s="1"/>
  <c r="Q13" i="2"/>
  <c r="Q15" i="2" s="1"/>
  <c r="N28" i="2"/>
  <c r="P12" i="2"/>
  <c r="P30" i="2"/>
  <c r="Q29" i="2"/>
  <c r="Q11" i="2"/>
  <c r="O28" i="2"/>
  <c r="P29" i="2"/>
  <c r="P13" i="2"/>
  <c r="P15" i="2" s="1"/>
  <c r="M34" i="2"/>
  <c r="M35" i="2"/>
  <c r="M20" i="2"/>
  <c r="M22" i="2" s="1"/>
  <c r="O34" i="2"/>
  <c r="Q12" i="2"/>
  <c r="O20" i="2"/>
  <c r="O22" i="2" s="1"/>
  <c r="O36" i="2"/>
  <c r="N20" i="2"/>
  <c r="N22" i="2" s="1"/>
  <c r="N34" i="2"/>
  <c r="Q28" i="2" l="1"/>
  <c r="Q19" i="2"/>
  <c r="P28" i="2"/>
  <c r="P19" i="2"/>
  <c r="Q30" i="2"/>
  <c r="R11" i="2"/>
  <c r="N24" i="2"/>
  <c r="N46" i="2" s="1"/>
  <c r="N32" i="2"/>
  <c r="O24" i="2"/>
  <c r="O46" i="2" s="1"/>
  <c r="O32" i="2"/>
  <c r="M24" i="2"/>
  <c r="M46" i="2" s="1"/>
  <c r="M32" i="2"/>
  <c r="P14" i="2"/>
  <c r="P16" i="2" s="1"/>
  <c r="R29" i="2"/>
  <c r="R13" i="2"/>
  <c r="R15" i="2" s="1"/>
  <c r="T13" i="2" l="1"/>
  <c r="T15" i="2" s="1"/>
  <c r="T29" i="2"/>
  <c r="P48" i="2"/>
  <c r="Q48" i="2" s="1"/>
  <c r="P59" i="2"/>
  <c r="Q59" i="2" s="1"/>
  <c r="R30" i="2"/>
  <c r="S11" i="2"/>
  <c r="R12" i="2"/>
  <c r="S29" i="2"/>
  <c r="S13" i="2"/>
  <c r="Q14" i="2"/>
  <c r="Q16" i="2" s="1"/>
  <c r="P34" i="2"/>
  <c r="P20" i="2"/>
  <c r="P22" i="2" s="1"/>
  <c r="P23" i="2" s="1"/>
  <c r="P24" i="2" s="1"/>
  <c r="P46" i="2" s="1"/>
  <c r="P58" i="2" s="1"/>
  <c r="P60" i="2" s="1"/>
  <c r="S15" i="2"/>
  <c r="S12" i="2"/>
  <c r="S30" i="2" l="1"/>
  <c r="T11" i="2"/>
  <c r="R28" i="2"/>
  <c r="R59" i="2" s="1"/>
  <c r="R19" i="2"/>
  <c r="R48" i="2"/>
  <c r="S28" i="2"/>
  <c r="S19" i="2"/>
  <c r="P25" i="2"/>
  <c r="P39" i="2"/>
  <c r="Q21" i="2" s="1"/>
  <c r="Q20" i="2"/>
  <c r="Q34" i="2"/>
  <c r="R14" i="2"/>
  <c r="R16" i="2" s="1"/>
  <c r="S14" i="2" l="1"/>
  <c r="S16" i="2" s="1"/>
  <c r="T14" i="2"/>
  <c r="T16" i="2"/>
  <c r="T30" i="2"/>
  <c r="T12" i="2"/>
  <c r="S59" i="2"/>
  <c r="S48" i="2"/>
  <c r="Q22" i="2"/>
  <c r="Q23" i="2" s="1"/>
  <c r="Q24" i="2" s="1"/>
  <c r="Q39" i="2" s="1"/>
  <c r="R21" i="2" s="1"/>
  <c r="R20" i="2"/>
  <c r="R34" i="2"/>
  <c r="S20" i="2"/>
  <c r="S34" i="2"/>
  <c r="T28" i="2" l="1"/>
  <c r="T59" i="2" s="1"/>
  <c r="T19" i="2"/>
  <c r="T34" i="2"/>
  <c r="T20" i="2"/>
  <c r="Q25" i="2"/>
  <c r="Q46" i="2"/>
  <c r="Q58" i="2" s="1"/>
  <c r="Q60" i="2" s="1"/>
  <c r="R22" i="2"/>
  <c r="R23" i="2" s="1"/>
  <c r="R24" i="2" s="1"/>
  <c r="R46" i="2" s="1"/>
  <c r="R58" i="2" s="1"/>
  <c r="R60" i="2" s="1"/>
  <c r="T48" i="2" l="1"/>
  <c r="R39" i="2"/>
  <c r="S21" i="2" s="1"/>
  <c r="R25" i="2"/>
  <c r="S22" i="2" l="1"/>
  <c r="S23" i="2" s="1"/>
  <c r="S24" i="2" s="1"/>
  <c r="S46" i="2" s="1"/>
  <c r="S58" i="2" s="1"/>
  <c r="S60" i="2" s="1"/>
  <c r="S25" i="2" l="1"/>
  <c r="S39" i="2"/>
  <c r="T21" i="2" s="1"/>
  <c r="T22" i="2" l="1"/>
  <c r="T23" i="2" s="1"/>
  <c r="T24" i="2" s="1"/>
  <c r="U24" i="2" l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T46" i="2"/>
  <c r="T58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BJ60" i="2" s="1"/>
  <c r="BK60" i="2" s="1"/>
  <c r="BL60" i="2" s="1"/>
  <c r="BM60" i="2" s="1"/>
  <c r="BN60" i="2" s="1"/>
  <c r="BO60" i="2" s="1"/>
  <c r="BP60" i="2" s="1"/>
  <c r="BQ60" i="2" s="1"/>
  <c r="BR60" i="2" s="1"/>
  <c r="BS60" i="2" s="1"/>
  <c r="BT60" i="2" s="1"/>
  <c r="BU60" i="2" s="1"/>
  <c r="BV60" i="2" s="1"/>
  <c r="BW60" i="2" s="1"/>
  <c r="BX60" i="2" s="1"/>
  <c r="BY60" i="2" s="1"/>
  <c r="BZ60" i="2" s="1"/>
  <c r="CA60" i="2" s="1"/>
  <c r="CB60" i="2" s="1"/>
  <c r="CC60" i="2" s="1"/>
  <c r="CD60" i="2" s="1"/>
  <c r="CE60" i="2" s="1"/>
  <c r="CF60" i="2" s="1"/>
  <c r="CG60" i="2" s="1"/>
  <c r="CH60" i="2" s="1"/>
  <c r="CI60" i="2" s="1"/>
  <c r="CJ60" i="2" s="1"/>
  <c r="CK60" i="2" s="1"/>
  <c r="CL60" i="2" s="1"/>
  <c r="CM60" i="2" s="1"/>
  <c r="CN60" i="2" s="1"/>
  <c r="CO60" i="2" s="1"/>
  <c r="CP60" i="2" s="1"/>
  <c r="CQ60" i="2" s="1"/>
  <c r="CR60" i="2" s="1"/>
  <c r="CS60" i="2" s="1"/>
  <c r="CT60" i="2" s="1"/>
  <c r="CU60" i="2" s="1"/>
  <c r="CV60" i="2" s="1"/>
  <c r="CW60" i="2" s="1"/>
  <c r="CX60" i="2" s="1"/>
  <c r="CY60" i="2" s="1"/>
  <c r="CZ60" i="2" s="1"/>
  <c r="DA60" i="2" s="1"/>
  <c r="DB60" i="2" s="1"/>
  <c r="DC60" i="2" s="1"/>
  <c r="DD60" i="2" s="1"/>
  <c r="DE60" i="2" s="1"/>
  <c r="DF60" i="2" s="1"/>
  <c r="DG60" i="2" s="1"/>
  <c r="DH60" i="2" s="1"/>
  <c r="DI60" i="2" s="1"/>
  <c r="DJ60" i="2" s="1"/>
  <c r="DK60" i="2" s="1"/>
  <c r="DL60" i="2" s="1"/>
  <c r="W53" i="2" s="1"/>
  <c r="T25" i="2"/>
  <c r="T39" i="2"/>
  <c r="W54" i="2" l="1"/>
  <c r="W55" i="2" s="1"/>
</calcChain>
</file>

<file path=xl/sharedStrings.xml><?xml version="1.0" encoding="utf-8"?>
<sst xmlns="http://schemas.openxmlformats.org/spreadsheetml/2006/main" count="77" uniqueCount="69">
  <si>
    <t>DELL</t>
  </si>
  <si>
    <t>Price</t>
  </si>
  <si>
    <t>Shares</t>
  </si>
  <si>
    <t>MC</t>
  </si>
  <si>
    <t>Cash</t>
  </si>
  <si>
    <t>Debt</t>
  </si>
  <si>
    <t>EV</t>
  </si>
  <si>
    <t>Q425</t>
  </si>
  <si>
    <t>Main</t>
  </si>
  <si>
    <t>Revenue</t>
  </si>
  <si>
    <t>Q125</t>
  </si>
  <si>
    <t>Q225</t>
  </si>
  <si>
    <t>Q325</t>
  </si>
  <si>
    <t>Q126</t>
  </si>
  <si>
    <t>Q226</t>
  </si>
  <si>
    <t>Products</t>
  </si>
  <si>
    <t>Services</t>
  </si>
  <si>
    <t>Products COGS</t>
  </si>
  <si>
    <t>Services COGS</t>
  </si>
  <si>
    <t>Products GP</t>
  </si>
  <si>
    <t>Services GP</t>
  </si>
  <si>
    <t>Operating Income</t>
  </si>
  <si>
    <t>SG&amp;A</t>
  </si>
  <si>
    <t>R&amp;D</t>
  </si>
  <si>
    <t>Operating Expenses</t>
  </si>
  <si>
    <t>Interest Income</t>
  </si>
  <si>
    <t>Pretax Income</t>
  </si>
  <si>
    <t>Tax</t>
  </si>
  <si>
    <t>Net Income</t>
  </si>
  <si>
    <t>EPS</t>
  </si>
  <si>
    <t>Revenue y/y</t>
  </si>
  <si>
    <t>Tax Rate</t>
  </si>
  <si>
    <t>Products GM</t>
  </si>
  <si>
    <t>Services GM</t>
  </si>
  <si>
    <t>Model NI</t>
  </si>
  <si>
    <t>Reported NI</t>
  </si>
  <si>
    <t>Net Cash</t>
  </si>
  <si>
    <t>ST Investments</t>
  </si>
  <si>
    <t xml:space="preserve"> </t>
  </si>
  <si>
    <t>Gross Margin</t>
  </si>
  <si>
    <t>Products y/y</t>
  </si>
  <si>
    <t>Services y/y</t>
  </si>
  <si>
    <t>ROIC</t>
  </si>
  <si>
    <t>Maturity</t>
  </si>
  <si>
    <t>Discount</t>
  </si>
  <si>
    <t>NPV</t>
  </si>
  <si>
    <t>Diff</t>
  </si>
  <si>
    <t>OPEX Margin</t>
  </si>
  <si>
    <t>D&amp;A</t>
  </si>
  <si>
    <t>SB Comp</t>
  </si>
  <si>
    <t>DIT</t>
  </si>
  <si>
    <t>Other</t>
  </si>
  <si>
    <t>AR</t>
  </si>
  <si>
    <t>Finance Receivables</t>
  </si>
  <si>
    <t>Inventories</t>
  </si>
  <si>
    <t>Other A&amp;L</t>
  </si>
  <si>
    <t>AP</t>
  </si>
  <si>
    <t>DR</t>
  </si>
  <si>
    <t>CFFO</t>
  </si>
  <si>
    <t>CAPEX</t>
  </si>
  <si>
    <t>FCF</t>
  </si>
  <si>
    <t>ISG Rev</t>
  </si>
  <si>
    <t>Storage</t>
  </si>
  <si>
    <t>Servers &amp; Networking</t>
  </si>
  <si>
    <t>Commercial</t>
  </si>
  <si>
    <t>Consumer</t>
  </si>
  <si>
    <t>CSG Rev</t>
  </si>
  <si>
    <t>Servers y/y</t>
  </si>
  <si>
    <t>ISG 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</si>
</sst>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4" fontId="0" fillId="0" borderId="0" xfId="0" applyNumberFormat="1"/>
    <xf numFmtId="3" fontId="0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10" fontId="0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47625</xdr:rowOff>
    </xdr:from>
    <xdr:to>
      <xdr:col>15</xdr:col>
      <xdr:colOff>9525</xdr:colOff>
      <xdr:row>82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45D366-1002-3028-7112-AB139095438B}"/>
            </a:ext>
          </a:extLst>
        </xdr:cNvPr>
        <xdr:cNvCxnSpPr/>
      </xdr:nvCxnSpPr>
      <xdr:spPr>
        <a:xfrm>
          <a:off x="10591800" y="47625"/>
          <a:ext cx="9525" cy="12687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0</xdr:row>
      <xdr:rowOff>19050</xdr:rowOff>
    </xdr:from>
    <xdr:to>
      <xdr:col>6</xdr:col>
      <xdr:colOff>28575</xdr:colOff>
      <xdr:row>82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22F40B2-00C5-4C65-86FA-04B02BF5E378}"/>
            </a:ext>
          </a:extLst>
        </xdr:cNvPr>
        <xdr:cNvCxnSpPr/>
      </xdr:nvCxnSpPr>
      <xdr:spPr>
        <a:xfrm>
          <a:off x="4438650" y="19050"/>
          <a:ext cx="9525" cy="12687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79DF-B8F5-42A4-8D3B-3D8DFA19C319}">
  <dimension ref="A1:D7"/>
  <sheetViews>
    <sheetView zoomScale="265" zoomScaleNormal="265" workbookViewId="0">
      <selection activeCell="C6" sqref="C6"/>
    </sheetView>
  </sheetViews>
  <sheetFormatPr defaultRowHeight="14.25" x14ac:dyDescent="0.2"/>
  <sheetData>
    <row r="1" spans="1:4" ht="15" x14ac:dyDescent="0.25">
      <c r="A1" s="1" t="s">
        <v>0</v>
      </c>
    </row>
    <row r="2" spans="1:4" x14ac:dyDescent="0.2">
      <c r="B2" t="s">
        <v>1</v>
      </c>
      <c r="C2" s="2">
        <v>111</v>
      </c>
    </row>
    <row r="3" spans="1:4" x14ac:dyDescent="0.2">
      <c r="B3" t="s">
        <v>2</v>
      </c>
      <c r="C3" s="2">
        <v>697.84079999999994</v>
      </c>
      <c r="D3" t="s">
        <v>7</v>
      </c>
    </row>
    <row r="4" spans="1:4" x14ac:dyDescent="0.2">
      <c r="B4" t="s">
        <v>3</v>
      </c>
      <c r="C4" s="2">
        <f>C2*C3</f>
        <v>77460.328799999988</v>
      </c>
    </row>
    <row r="5" spans="1:4" x14ac:dyDescent="0.2">
      <c r="B5" t="s">
        <v>4</v>
      </c>
      <c r="C5" s="2">
        <v>3633</v>
      </c>
      <c r="D5" t="s">
        <v>7</v>
      </c>
    </row>
    <row r="6" spans="1:4" x14ac:dyDescent="0.2">
      <c r="B6" t="s">
        <v>5</v>
      </c>
      <c r="C6" s="2">
        <f>19363+12292+2951</f>
        <v>34606</v>
      </c>
      <c r="D6" t="s">
        <v>7</v>
      </c>
    </row>
    <row r="7" spans="1:4" x14ac:dyDescent="0.2">
      <c r="B7" t="s">
        <v>6</v>
      </c>
      <c r="C7" s="2">
        <f>C4+C6-C5</f>
        <v>108433.32879999999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7BDA-91B0-4CCE-9648-B41E0208AF0D}">
  <dimension ref="A1:DN60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P2" sqref="P2"/>
    </sheetView>
  </sheetViews>
  <sheetFormatPr defaultRowHeight="14.25" x14ac:dyDescent="0.2"/>
  <cols>
    <col min="1" max="1" width="4.625" style="2" customWidth="1"/>
    <col min="2" max="2" width="18.375" style="2" customWidth="1"/>
    <col min="3" max="16384" width="9" style="2"/>
  </cols>
  <sheetData>
    <row r="1" spans="1:20" x14ac:dyDescent="0.2">
      <c r="A1" s="3" t="s">
        <v>8</v>
      </c>
      <c r="C1" s="2" t="s">
        <v>10</v>
      </c>
      <c r="D1" s="2" t="s">
        <v>11</v>
      </c>
      <c r="E1" s="2" t="s">
        <v>12</v>
      </c>
      <c r="F1" s="2" t="s">
        <v>7</v>
      </c>
      <c r="G1" s="2" t="s">
        <v>13</v>
      </c>
      <c r="H1" s="2" t="s">
        <v>14</v>
      </c>
      <c r="J1" s="5">
        <v>2020</v>
      </c>
      <c r="K1" s="5">
        <f>J1+1</f>
        <v>2021</v>
      </c>
      <c r="L1" s="5">
        <f t="shared" ref="L1:T1" si="0">K1+1</f>
        <v>2022</v>
      </c>
      <c r="M1" s="5">
        <f t="shared" si="0"/>
        <v>2023</v>
      </c>
      <c r="N1" s="5">
        <f t="shared" si="0"/>
        <v>2024</v>
      </c>
      <c r="O1" s="5">
        <f t="shared" si="0"/>
        <v>2025</v>
      </c>
      <c r="P1" s="5">
        <f t="shared" si="0"/>
        <v>2026</v>
      </c>
      <c r="Q1" s="5">
        <f t="shared" si="0"/>
        <v>2027</v>
      </c>
      <c r="R1" s="5">
        <f t="shared" si="0"/>
        <v>2028</v>
      </c>
      <c r="S1" s="5">
        <f t="shared" si="0"/>
        <v>2029</v>
      </c>
      <c r="T1" s="5">
        <f t="shared" si="0"/>
        <v>2030</v>
      </c>
    </row>
    <row r="2" spans="1:20" s="4" customFormat="1" ht="15" x14ac:dyDescent="0.25">
      <c r="A2" s="3"/>
      <c r="B2" s="4" t="s">
        <v>63</v>
      </c>
      <c r="J2" s="13"/>
      <c r="K2" s="13"/>
      <c r="L2" s="13"/>
      <c r="N2" s="4">
        <v>17624</v>
      </c>
      <c r="O2" s="4">
        <v>27136</v>
      </c>
    </row>
    <row r="3" spans="1:20" x14ac:dyDescent="0.2">
      <c r="A3" s="3"/>
      <c r="B3" s="2" t="s">
        <v>62</v>
      </c>
      <c r="J3" s="5"/>
      <c r="K3" s="5"/>
      <c r="L3" s="5"/>
      <c r="N3" s="2">
        <v>16261</v>
      </c>
      <c r="O3" s="2">
        <v>16457</v>
      </c>
    </row>
    <row r="4" spans="1:20" x14ac:dyDescent="0.2">
      <c r="A4" s="3"/>
      <c r="B4" s="2" t="s">
        <v>61</v>
      </c>
      <c r="J4" s="5"/>
      <c r="K4" s="5"/>
      <c r="L4" s="5"/>
      <c r="N4" s="2">
        <f>SUM(N2:N3)</f>
        <v>33885</v>
      </c>
      <c r="O4" s="2">
        <f>SUM(O2:O3)</f>
        <v>43593</v>
      </c>
    </row>
    <row r="5" spans="1:20" s="4" customFormat="1" ht="15" x14ac:dyDescent="0.25">
      <c r="A5" s="3"/>
      <c r="B5" s="4" t="s">
        <v>68</v>
      </c>
      <c r="J5" s="13"/>
      <c r="K5" s="13"/>
      <c r="L5" s="13"/>
      <c r="N5" s="14">
        <f>4286/N4</f>
        <v>0.12648664600855836</v>
      </c>
      <c r="O5" s="14">
        <f>5579/O4</f>
        <v>0.12797926272566695</v>
      </c>
    </row>
    <row r="6" spans="1:20" x14ac:dyDescent="0.2">
      <c r="A6" s="3"/>
      <c r="B6" s="2" t="s">
        <v>64</v>
      </c>
      <c r="J6" s="5"/>
      <c r="K6" s="5"/>
      <c r="L6" s="5"/>
      <c r="N6" s="2">
        <v>39814</v>
      </c>
      <c r="O6" s="2">
        <v>40844</v>
      </c>
    </row>
    <row r="7" spans="1:20" x14ac:dyDescent="0.2">
      <c r="A7" s="3"/>
      <c r="B7" s="2" t="s">
        <v>65</v>
      </c>
      <c r="J7" s="5"/>
      <c r="K7" s="5"/>
      <c r="L7" s="5"/>
      <c r="N7" s="2">
        <v>9102</v>
      </c>
      <c r="O7" s="2">
        <v>7549</v>
      </c>
    </row>
    <row r="8" spans="1:20" x14ac:dyDescent="0.2">
      <c r="A8" s="3"/>
      <c r="B8" s="2" t="s">
        <v>66</v>
      </c>
      <c r="J8" s="5"/>
      <c r="K8" s="5"/>
      <c r="L8" s="5"/>
      <c r="N8" s="2">
        <f>SUM(N6:N7)</f>
        <v>48916</v>
      </c>
      <c r="O8" s="2">
        <f>SUM(O6:O7)</f>
        <v>48393</v>
      </c>
    </row>
    <row r="9" spans="1:20" x14ac:dyDescent="0.2">
      <c r="A9" s="3"/>
      <c r="J9" s="5"/>
      <c r="K9" s="5"/>
      <c r="L9" s="5"/>
    </row>
    <row r="10" spans="1:20" x14ac:dyDescent="0.2">
      <c r="B10" s="2" t="s">
        <v>15</v>
      </c>
      <c r="M10" s="2">
        <v>79250</v>
      </c>
      <c r="N10" s="2">
        <v>64353</v>
      </c>
      <c r="O10" s="2">
        <v>71420</v>
      </c>
      <c r="P10" s="2">
        <f>O10*1.02</f>
        <v>72848.399999999994</v>
      </c>
      <c r="Q10" s="2">
        <f t="shared" ref="Q10:T10" si="1">P10*1.02</f>
        <v>74305.368000000002</v>
      </c>
      <c r="R10" s="2">
        <f t="shared" si="1"/>
        <v>75791.475359999997</v>
      </c>
      <c r="S10" s="2">
        <f t="shared" si="1"/>
        <v>77307.3048672</v>
      </c>
      <c r="T10" s="2">
        <f t="shared" si="1"/>
        <v>78853.450964543998</v>
      </c>
    </row>
    <row r="11" spans="1:20" x14ac:dyDescent="0.2">
      <c r="B11" s="2" t="s">
        <v>16</v>
      </c>
      <c r="M11" s="2">
        <v>23051</v>
      </c>
      <c r="N11" s="2">
        <v>24072</v>
      </c>
      <c r="O11" s="2">
        <v>24147</v>
      </c>
      <c r="P11" s="2">
        <f>O11*1.04</f>
        <v>25112.880000000001</v>
      </c>
      <c r="Q11" s="2">
        <f t="shared" ref="Q11:S11" si="2">P11*1.04</f>
        <v>26117.395200000003</v>
      </c>
      <c r="R11" s="2">
        <f t="shared" si="2"/>
        <v>27162.091008000003</v>
      </c>
      <c r="S11" s="2">
        <f t="shared" si="2"/>
        <v>28248.574648320006</v>
      </c>
      <c r="T11" s="2">
        <f t="shared" ref="T11" si="3">S11*1.04</f>
        <v>29378.517634252807</v>
      </c>
    </row>
    <row r="12" spans="1:20" s="4" customFormat="1" ht="15" x14ac:dyDescent="0.25">
      <c r="A12" s="2"/>
      <c r="B12" s="4" t="s">
        <v>9</v>
      </c>
      <c r="M12" s="4">
        <f>SUM(M10:M11)</f>
        <v>102301</v>
      </c>
      <c r="N12" s="4">
        <f t="shared" ref="N12:O12" si="4">SUM(N10:N11)</f>
        <v>88425</v>
      </c>
      <c r="O12" s="4">
        <f t="shared" si="4"/>
        <v>95567</v>
      </c>
      <c r="P12" s="4">
        <f t="shared" ref="P12" si="5">SUM(P10:P11)</f>
        <v>97961.279999999999</v>
      </c>
      <c r="Q12" s="4">
        <f t="shared" ref="Q12" si="6">SUM(Q10:Q11)</f>
        <v>100422.7632</v>
      </c>
      <c r="R12" s="4">
        <f t="shared" ref="R12" si="7">SUM(R10:R11)</f>
        <v>102953.566368</v>
      </c>
      <c r="S12" s="4">
        <f t="shared" ref="S12:T12" si="8">SUM(S10:S11)</f>
        <v>105555.87951552001</v>
      </c>
      <c r="T12" s="4">
        <f t="shared" si="8"/>
        <v>108231.96859879681</v>
      </c>
    </row>
    <row r="13" spans="1:20" x14ac:dyDescent="0.2">
      <c r="B13" s="2" t="s">
        <v>17</v>
      </c>
      <c r="M13" s="2">
        <v>66029</v>
      </c>
      <c r="N13" s="2">
        <v>53116</v>
      </c>
      <c r="O13" s="2">
        <v>60162</v>
      </c>
      <c r="P13" s="2">
        <f>P10*(1-P35)</f>
        <v>60828.41399999999</v>
      </c>
      <c r="Q13" s="2">
        <f>Q10*(1-Q35)</f>
        <v>62044.982279999997</v>
      </c>
      <c r="R13" s="2">
        <f>R10*(1-R35)</f>
        <v>63285.881925599992</v>
      </c>
      <c r="S13" s="2">
        <f>S10*(1-S35)</f>
        <v>64551.599564111995</v>
      </c>
      <c r="T13" s="2">
        <f>T10*(1-T35)</f>
        <v>65842.63155539424</v>
      </c>
    </row>
    <row r="14" spans="1:20" x14ac:dyDescent="0.2">
      <c r="B14" s="2" t="s">
        <v>18</v>
      </c>
      <c r="M14" s="2">
        <v>13586</v>
      </c>
      <c r="N14" s="2">
        <v>14240</v>
      </c>
      <c r="O14" s="2">
        <v>14155</v>
      </c>
      <c r="P14" s="2">
        <f>P11*(1-P36)</f>
        <v>14409.4496</v>
      </c>
      <c r="Q14" s="2">
        <f>Q11*(1-Q36)</f>
        <v>14651.88055552</v>
      </c>
      <c r="R14" s="2">
        <f>R11*(1-R36)</f>
        <v>14880.231720833024</v>
      </c>
      <c r="S14" s="2">
        <f>S11*(1-S36)</f>
        <v>15092.246979906737</v>
      </c>
      <c r="T14" s="2">
        <f>T11*(1-T36)</f>
        <v>15285.459435848512</v>
      </c>
    </row>
    <row r="15" spans="1:20" x14ac:dyDescent="0.2">
      <c r="B15" s="2" t="s">
        <v>19</v>
      </c>
      <c r="M15" s="2">
        <f>M10-M13</f>
        <v>13221</v>
      </c>
      <c r="N15" s="2">
        <f t="shared" ref="N15:O15" si="9">N10-N13</f>
        <v>11237</v>
      </c>
      <c r="O15" s="2">
        <f t="shared" si="9"/>
        <v>11258</v>
      </c>
      <c r="P15" s="2">
        <f t="shared" ref="P15:S15" si="10">P10-P13</f>
        <v>12019.986000000004</v>
      </c>
      <c r="Q15" s="2">
        <f t="shared" si="10"/>
        <v>12260.385720000006</v>
      </c>
      <c r="R15" s="2">
        <f t="shared" si="10"/>
        <v>12505.593434400005</v>
      </c>
      <c r="S15" s="2">
        <f t="shared" si="10"/>
        <v>12755.705303088005</v>
      </c>
      <c r="T15" s="2">
        <f t="shared" ref="T15" si="11">T10-T13</f>
        <v>13010.819409149757</v>
      </c>
    </row>
    <row r="16" spans="1:20" x14ac:dyDescent="0.2">
      <c r="B16" s="2" t="s">
        <v>20</v>
      </c>
      <c r="M16" s="2">
        <f>M11-M14</f>
        <v>9465</v>
      </c>
      <c r="N16" s="2">
        <f t="shared" ref="N16:O16" si="12">N11-N14</f>
        <v>9832</v>
      </c>
      <c r="O16" s="2">
        <f t="shared" si="12"/>
        <v>9992</v>
      </c>
      <c r="P16" s="2">
        <f t="shared" ref="P16:S16" si="13">P11-P14</f>
        <v>10703.430400000001</v>
      </c>
      <c r="Q16" s="2">
        <f t="shared" si="13"/>
        <v>11465.514644480003</v>
      </c>
      <c r="R16" s="2">
        <f t="shared" si="13"/>
        <v>12281.859287166979</v>
      </c>
      <c r="S16" s="2">
        <f t="shared" si="13"/>
        <v>13156.327668413269</v>
      </c>
      <c r="T16" s="2">
        <f t="shared" ref="T16" si="14">T11-T14</f>
        <v>14093.058198404295</v>
      </c>
    </row>
    <row r="17" spans="1:118" x14ac:dyDescent="0.2">
      <c r="B17" s="2" t="s">
        <v>22</v>
      </c>
      <c r="M17" s="2">
        <v>14136</v>
      </c>
      <c r="N17" s="2">
        <v>12857</v>
      </c>
      <c r="O17" s="2">
        <v>11952</v>
      </c>
    </row>
    <row r="18" spans="1:118" x14ac:dyDescent="0.2">
      <c r="B18" s="2" t="s">
        <v>23</v>
      </c>
      <c r="M18" s="2">
        <v>2779</v>
      </c>
      <c r="N18" s="2">
        <v>2801</v>
      </c>
      <c r="O18" s="2">
        <v>3061</v>
      </c>
    </row>
    <row r="19" spans="1:118" x14ac:dyDescent="0.2">
      <c r="B19" s="2" t="s">
        <v>24</v>
      </c>
      <c r="M19" s="2">
        <f>SUM(M17:M18)</f>
        <v>16915</v>
      </c>
      <c r="N19" s="2">
        <f t="shared" ref="N19:O19" si="15">SUM(N17:N18)</f>
        <v>15658</v>
      </c>
      <c r="O19" s="2">
        <f t="shared" si="15"/>
        <v>15013</v>
      </c>
      <c r="P19" s="2">
        <f>P12*P37</f>
        <v>16653.417600000001</v>
      </c>
      <c r="Q19" s="2">
        <f t="shared" ref="Q19:S19" si="16">Q12*Q37</f>
        <v>17071.869744</v>
      </c>
      <c r="R19" s="2">
        <f t="shared" si="16"/>
        <v>17502.106282560002</v>
      </c>
      <c r="S19" s="2">
        <f t="shared" si="16"/>
        <v>17944.499517638404</v>
      </c>
      <c r="T19" s="2">
        <f t="shared" ref="T19" si="17">T12*T37</f>
        <v>18399.434661795458</v>
      </c>
    </row>
    <row r="20" spans="1:118" x14ac:dyDescent="0.2">
      <c r="B20" s="2" t="s">
        <v>21</v>
      </c>
      <c r="M20" s="2">
        <f>SUM(M15:M16)-M19</f>
        <v>5771</v>
      </c>
      <c r="N20" s="2">
        <f t="shared" ref="N20:T20" si="18">SUM(N15:N16)-N19</f>
        <v>5411</v>
      </c>
      <c r="O20" s="2">
        <f t="shared" si="18"/>
        <v>6237</v>
      </c>
      <c r="P20" s="2">
        <f t="shared" si="18"/>
        <v>6069.9988000000048</v>
      </c>
      <c r="Q20" s="2">
        <f t="shared" si="18"/>
        <v>6654.0306204800108</v>
      </c>
      <c r="R20" s="2">
        <f t="shared" si="18"/>
        <v>7285.3464390069821</v>
      </c>
      <c r="S20" s="2">
        <f t="shared" si="18"/>
        <v>7967.5334538628704</v>
      </c>
      <c r="T20" s="2">
        <f t="shared" si="18"/>
        <v>8704.4429457585939</v>
      </c>
    </row>
    <row r="21" spans="1:118" x14ac:dyDescent="0.2">
      <c r="B21" s="2" t="s">
        <v>25</v>
      </c>
      <c r="M21" s="2">
        <v>-2546</v>
      </c>
      <c r="N21" s="2">
        <v>-1324</v>
      </c>
      <c r="O21" s="2">
        <v>-1189</v>
      </c>
      <c r="P21" s="2">
        <f>O39*$W$50</f>
        <v>-1858.3799999999999</v>
      </c>
      <c r="Q21" s="2">
        <f>P39*$W$50</f>
        <v>-1653.6953263199996</v>
      </c>
      <c r="R21" s="2">
        <f>Q39*$W$50</f>
        <v>-1410.679031023823</v>
      </c>
      <c r="S21" s="2">
        <f>R39*$W$50</f>
        <v>-1125.1701949958415</v>
      </c>
      <c r="T21" s="2">
        <f>S39*$W$50</f>
        <v>-792.63134061490393</v>
      </c>
    </row>
    <row r="22" spans="1:118" x14ac:dyDescent="0.2">
      <c r="B22" s="2" t="s">
        <v>26</v>
      </c>
      <c r="M22" s="2">
        <f>M20+M21</f>
        <v>3225</v>
      </c>
      <c r="N22" s="2">
        <f t="shared" ref="N22:T22" si="19">N20+N21</f>
        <v>4087</v>
      </c>
      <c r="O22" s="2">
        <f t="shared" si="19"/>
        <v>5048</v>
      </c>
      <c r="P22" s="2">
        <f t="shared" si="19"/>
        <v>4211.6188000000047</v>
      </c>
      <c r="Q22" s="2">
        <f t="shared" si="19"/>
        <v>5000.3352941600115</v>
      </c>
      <c r="R22" s="2">
        <f t="shared" si="19"/>
        <v>5874.6674079831591</v>
      </c>
      <c r="S22" s="2">
        <f t="shared" si="19"/>
        <v>6842.3632588670289</v>
      </c>
      <c r="T22" s="2">
        <f t="shared" si="19"/>
        <v>7911.81160514369</v>
      </c>
    </row>
    <row r="23" spans="1:118" x14ac:dyDescent="0.2">
      <c r="B23" s="2" t="s">
        <v>27</v>
      </c>
      <c r="M23" s="2">
        <v>803</v>
      </c>
      <c r="N23" s="2">
        <v>715</v>
      </c>
      <c r="O23" s="2">
        <v>472</v>
      </c>
      <c r="P23" s="2">
        <f>P22*P32</f>
        <v>800.20757200000094</v>
      </c>
      <c r="Q23" s="2">
        <f t="shared" ref="Q23:T23" si="20">Q22*Q32</f>
        <v>950.06370589040216</v>
      </c>
      <c r="R23" s="2">
        <f t="shared" si="20"/>
        <v>1116.1868075168002</v>
      </c>
      <c r="S23" s="2">
        <f t="shared" si="20"/>
        <v>1300.0490191847355</v>
      </c>
      <c r="T23" s="2">
        <f t="shared" si="20"/>
        <v>1503.244204977301</v>
      </c>
    </row>
    <row r="24" spans="1:118" s="4" customFormat="1" ht="15" x14ac:dyDescent="0.25">
      <c r="A24" s="2"/>
      <c r="B24" s="4" t="s">
        <v>28</v>
      </c>
      <c r="M24" s="4">
        <f>M22-M23</f>
        <v>2422</v>
      </c>
      <c r="N24" s="4">
        <f t="shared" ref="N24:T24" si="21">N22-N23</f>
        <v>3372</v>
      </c>
      <c r="O24" s="4">
        <f t="shared" si="21"/>
        <v>4576</v>
      </c>
      <c r="P24" s="4">
        <f t="shared" si="21"/>
        <v>3411.4112280000036</v>
      </c>
      <c r="Q24" s="4">
        <f t="shared" si="21"/>
        <v>4050.2715882696093</v>
      </c>
      <c r="R24" s="4">
        <f t="shared" si="21"/>
        <v>4758.4806004663587</v>
      </c>
      <c r="S24" s="4">
        <f t="shared" si="21"/>
        <v>5542.3142396822932</v>
      </c>
      <c r="T24" s="4">
        <f t="shared" si="21"/>
        <v>6408.5674001663892</v>
      </c>
      <c r="U24" s="4">
        <f>T24*(1+$W$51)</f>
        <v>6472.6530741680535</v>
      </c>
      <c r="V24" s="4">
        <f>U24*(1+$W$51)</f>
        <v>6537.3796049097346</v>
      </c>
      <c r="W24" s="4">
        <f>V24*(1+$W$51)</f>
        <v>6602.7534009588317</v>
      </c>
      <c r="X24" s="4">
        <f>W24*(1+$W$51)</f>
        <v>6668.7809349684203</v>
      </c>
      <c r="Y24" s="4">
        <f>X24*(1+$W$51)</f>
        <v>6735.4687443181047</v>
      </c>
      <c r="Z24" s="4">
        <f>Y24*(1+$W$51)</f>
        <v>6802.823431761286</v>
      </c>
      <c r="AA24" s="4">
        <f>Z24*(1+$W$51)</f>
        <v>6870.8516660788991</v>
      </c>
      <c r="AB24" s="4">
        <f>AA24*(1+$W$51)</f>
        <v>6939.5601827396886</v>
      </c>
      <c r="AC24" s="4">
        <f>AB24*(1+$W$51)</f>
        <v>7008.9557845670852</v>
      </c>
      <c r="AD24" s="4">
        <f>AC24*(1+$W$51)</f>
        <v>7079.0453424127563</v>
      </c>
      <c r="AE24" s="4">
        <f>AD24*(1+$W$51)</f>
        <v>7149.8357958368842</v>
      </c>
      <c r="AF24" s="4">
        <f>AE24*(1+$W$51)</f>
        <v>7221.3341537952529</v>
      </c>
      <c r="AG24" s="4">
        <f>AF24*(1+$W$51)</f>
        <v>7293.547495333205</v>
      </c>
      <c r="AH24" s="4">
        <f>AG24*(1+$W$51)</f>
        <v>7366.4829702865372</v>
      </c>
      <c r="AI24" s="4">
        <f>AH24*(1+$W$51)</f>
        <v>7440.1477999894023</v>
      </c>
      <c r="AJ24" s="4">
        <f>AI24*(1+$W$51)</f>
        <v>7514.5492779892966</v>
      </c>
      <c r="AK24" s="4">
        <f>AJ24*(1+$W$51)</f>
        <v>7589.6947707691897</v>
      </c>
      <c r="AL24" s="4">
        <f>AK24*(1+$W$51)</f>
        <v>7665.5917184768814</v>
      </c>
      <c r="AM24" s="4">
        <f>AL24*(1+$W$51)</f>
        <v>7742.2476356616498</v>
      </c>
      <c r="AN24" s="4">
        <f>AM24*(1+$W$51)</f>
        <v>7819.6701120182661</v>
      </c>
      <c r="AO24" s="4">
        <f>AN24*(1+$W$51)</f>
        <v>7897.8668131384484</v>
      </c>
      <c r="AP24" s="4">
        <f>AO24*(1+$W$51)</f>
        <v>7976.8454812698328</v>
      </c>
      <c r="AQ24" s="4">
        <f>AP24*(1+$W$51)</f>
        <v>8056.6139360825309</v>
      </c>
      <c r="AR24" s="4">
        <f>AQ24*(1+$W$51)</f>
        <v>8137.1800754433561</v>
      </c>
      <c r="AS24" s="4">
        <f>AR24*(1+$W$51)</f>
        <v>8218.5518761977892</v>
      </c>
      <c r="AT24" s="4">
        <f>AS24*(1+$W$51)</f>
        <v>8300.7373949597677</v>
      </c>
      <c r="AU24" s="4">
        <f>AT24*(1+$W$51)</f>
        <v>8383.744768909366</v>
      </c>
      <c r="AV24" s="4">
        <f>AU24*(1+$W$51)</f>
        <v>8467.5822165984591</v>
      </c>
      <c r="AW24" s="4">
        <f>AV24*(1+$W$51)</f>
        <v>8552.258038764443</v>
      </c>
      <c r="AX24" s="4">
        <f>AW24*(1+$W$51)</f>
        <v>8637.7806191520867</v>
      </c>
      <c r="AY24" s="4">
        <f>AX24*(1+$W$51)</f>
        <v>8724.1584253436085</v>
      </c>
      <c r="AZ24" s="4">
        <f>AY24*(1+$W$51)</f>
        <v>8811.4000095970441</v>
      </c>
      <c r="BA24" s="4">
        <f>AZ24*(1+$W$51)</f>
        <v>8899.5140096930154</v>
      </c>
      <c r="BB24" s="4">
        <f>BA24*(1+$W$51)</f>
        <v>8988.5091497899448</v>
      </c>
      <c r="BC24" s="4">
        <f>BB24*(1+$W$51)</f>
        <v>9078.3942412878441</v>
      </c>
      <c r="BD24" s="4">
        <f>BC24*(1+$W$51)</f>
        <v>9169.178183700722</v>
      </c>
      <c r="BE24" s="4">
        <f>BD24*(1+$W$51)</f>
        <v>9260.8699655377295</v>
      </c>
      <c r="BF24" s="4">
        <f>BE24*(1+$W$51)</f>
        <v>9353.4786651931063</v>
      </c>
      <c r="BG24" s="4">
        <f>BF24*(1+$W$51)</f>
        <v>9447.0134518450377</v>
      </c>
      <c r="BH24" s="4">
        <f>BG24*(1+$W$51)</f>
        <v>9541.4835863634889</v>
      </c>
      <c r="BI24" s="4">
        <f>BH24*(1+$W$51)</f>
        <v>9636.8984222271247</v>
      </c>
      <c r="BJ24" s="4">
        <f>BI24*(1+$W$51)</f>
        <v>9733.2674064493967</v>
      </c>
      <c r="BK24" s="4">
        <f>BJ24*(1+$W$51)</f>
        <v>9830.6000805138901</v>
      </c>
      <c r="BL24" s="4">
        <f>BK24*(1+$W$51)</f>
        <v>9928.9060813190299</v>
      </c>
      <c r="BM24" s="4">
        <f>BL24*(1+$W$51)</f>
        <v>10028.195142132221</v>
      </c>
      <c r="BN24" s="4">
        <f>BM24*(1+$W$51)</f>
        <v>10128.477093553543</v>
      </c>
      <c r="BO24" s="4">
        <f>BN24*(1+$W$51)</f>
        <v>10229.761864489079</v>
      </c>
      <c r="BP24" s="4">
        <f>BO24*(1+$W$51)</f>
        <v>10332.059483133969</v>
      </c>
      <c r="BQ24" s="4">
        <f>BP24*(1+$W$51)</f>
        <v>10435.380077965308</v>
      </c>
      <c r="BR24" s="4">
        <f>BQ24*(1+$W$51)</f>
        <v>10539.733878744961</v>
      </c>
      <c r="BS24" s="4">
        <f>BR24*(1+$W$51)</f>
        <v>10645.131217532411</v>
      </c>
      <c r="BT24" s="4">
        <f>BS24*(1+$W$51)</f>
        <v>10751.582529707735</v>
      </c>
      <c r="BU24" s="4">
        <f>BT24*(1+$W$51)</f>
        <v>10859.098355004813</v>
      </c>
      <c r="BV24" s="4">
        <f>BU24*(1+$W$51)</f>
        <v>10967.689338554861</v>
      </c>
      <c r="BW24" s="4">
        <f>BV24*(1+$W$51)</f>
        <v>11077.36623194041</v>
      </c>
      <c r="BX24" s="4">
        <f>BW24*(1+$W$51)</f>
        <v>11188.139894259815</v>
      </c>
      <c r="BY24" s="4">
        <f>BX24*(1+$W$51)</f>
        <v>11300.021293202413</v>
      </c>
      <c r="BZ24" s="4">
        <f>BY24*(1+$W$51)</f>
        <v>11413.021506134437</v>
      </c>
      <c r="CA24" s="4">
        <f>BZ24*(1+$W$51)</f>
        <v>11527.151721195782</v>
      </c>
      <c r="CB24" s="4">
        <f>CA24*(1+$W$51)</f>
        <v>11642.42323840774</v>
      </c>
      <c r="CC24" s="4">
        <f>CB24*(1+$W$51)</f>
        <v>11758.847470791818</v>
      </c>
      <c r="CD24" s="4">
        <f>CC24*(1+$W$51)</f>
        <v>11876.435945499736</v>
      </c>
      <c r="CE24" s="4">
        <f>CD24*(1+$W$51)</f>
        <v>11995.200304954733</v>
      </c>
      <c r="CF24" s="4">
        <f>CE24*(1+$W$51)</f>
        <v>12115.152308004281</v>
      </c>
      <c r="CG24" s="4">
        <f>CF24*(1+$W$51)</f>
        <v>12236.303831084324</v>
      </c>
      <c r="CH24" s="4">
        <f>CG24*(1+$W$51)</f>
        <v>12358.666869395167</v>
      </c>
      <c r="CI24" s="4">
        <f>CH24*(1+$W$51)</f>
        <v>12482.253538089119</v>
      </c>
      <c r="CJ24" s="4">
        <f>CI24*(1+$W$51)</f>
        <v>12607.076073470011</v>
      </c>
      <c r="CK24" s="4">
        <f>CJ24*(1+$W$51)</f>
        <v>12733.14683420471</v>
      </c>
      <c r="CL24" s="4">
        <f>CK24*(1+$W$51)</f>
        <v>12860.478302546757</v>
      </c>
      <c r="CM24" s="4">
        <f>CL24*(1+$W$51)</f>
        <v>12989.083085572225</v>
      </c>
      <c r="CN24" s="4">
        <f>CM24*(1+$W$51)</f>
        <v>13118.973916427947</v>
      </c>
      <c r="CO24" s="4">
        <f>CN24*(1+$W$51)</f>
        <v>13250.163655592227</v>
      </c>
      <c r="CP24" s="4">
        <f>CO24*(1+$W$51)</f>
        <v>13382.665292148149</v>
      </c>
      <c r="CQ24" s="4">
        <f>CP24*(1+$W$51)</f>
        <v>13516.491945069631</v>
      </c>
      <c r="CR24" s="4">
        <f>CQ24*(1+$W$51)</f>
        <v>13651.656864520328</v>
      </c>
      <c r="CS24" s="4">
        <f>CR24*(1+$W$51)</f>
        <v>13788.173433165532</v>
      </c>
      <c r="CT24" s="4">
        <f>CS24*(1+$W$51)</f>
        <v>13926.055167497187</v>
      </c>
      <c r="CU24" s="4">
        <f>CT24*(1+$W$51)</f>
        <v>14065.315719172158</v>
      </c>
      <c r="CV24" s="4">
        <f>CU24*(1+$W$51)</f>
        <v>14205.968876363881</v>
      </c>
      <c r="CW24" s="4">
        <f>CV24*(1+$W$51)</f>
        <v>14348.028565127519</v>
      </c>
      <c r="CX24" s="4">
        <f>CW24*(1+$W$51)</f>
        <v>14491.508850778795</v>
      </c>
      <c r="CY24" s="4">
        <f>CX24*(1+$W$51)</f>
        <v>14636.423939286584</v>
      </c>
      <c r="CZ24" s="4">
        <f>CY24*(1+$W$51)</f>
        <v>14782.78817867945</v>
      </c>
      <c r="DA24" s="4">
        <f>CZ24*(1+$W$51)</f>
        <v>14930.616060466244</v>
      </c>
      <c r="DB24" s="4">
        <f>DA24*(1+$W$51)</f>
        <v>15079.922221070907</v>
      </c>
      <c r="DC24" s="4">
        <f>DB24*(1+$W$51)</f>
        <v>15230.721443281616</v>
      </c>
      <c r="DD24" s="4">
        <f>DC24*(1+$W$51)</f>
        <v>15383.028657714432</v>
      </c>
      <c r="DE24" s="4">
        <f>DD24*(1+$W$51)</f>
        <v>15536.858944291576</v>
      </c>
      <c r="DF24" s="4">
        <f>DE24*(1+$W$51)</f>
        <v>15692.227533734493</v>
      </c>
      <c r="DG24" s="4">
        <f>DF24*(1+$W$51)</f>
        <v>15849.149809071838</v>
      </c>
      <c r="DH24" s="4">
        <f>DG24*(1+$W$51)</f>
        <v>16007.641307162556</v>
      </c>
      <c r="DI24" s="4">
        <f>DH24*(1+$W$51)</f>
        <v>16167.717720234181</v>
      </c>
      <c r="DJ24" s="4">
        <f>DI24*(1+$W$51)</f>
        <v>16329.394897436523</v>
      </c>
      <c r="DK24" s="4">
        <f>DJ24*(1+$W$51)</f>
        <v>16492.688846410889</v>
      </c>
      <c r="DL24" s="4">
        <f>DK24*(1+$W$51)</f>
        <v>16657.615734874998</v>
      </c>
      <c r="DM24" s="4">
        <f>DL24*(1+$W$51)</f>
        <v>16824.191892223749</v>
      </c>
      <c r="DN24" s="4">
        <f>DM24*(1+$W$51)</f>
        <v>16992.433811145987</v>
      </c>
    </row>
    <row r="25" spans="1:118" x14ac:dyDescent="0.2">
      <c r="B25" s="2" t="s">
        <v>29</v>
      </c>
      <c r="M25" s="7">
        <v>3.33</v>
      </c>
      <c r="N25" s="7">
        <v>4.71</v>
      </c>
      <c r="O25" s="7">
        <v>6.51</v>
      </c>
      <c r="P25" s="7">
        <f>P24/P26</f>
        <v>4.8885236116890898</v>
      </c>
      <c r="Q25" s="7">
        <f t="shared" ref="Q25:T25" si="22">Q24/Q26</f>
        <v>5.8040051373746131</v>
      </c>
      <c r="R25" s="7">
        <f t="shared" si="22"/>
        <v>6.8188626982921594</v>
      </c>
      <c r="S25" s="7">
        <f t="shared" si="22"/>
        <v>7.9420897139896285</v>
      </c>
      <c r="T25" s="7">
        <f t="shared" si="22"/>
        <v>9.1834232108045128</v>
      </c>
    </row>
    <row r="26" spans="1:118" x14ac:dyDescent="0.2">
      <c r="B26" s="2" t="s">
        <v>2</v>
      </c>
      <c r="O26" s="2">
        <v>697.84079999999994</v>
      </c>
      <c r="P26" s="2">
        <v>697.84079999999994</v>
      </c>
      <c r="Q26" s="2">
        <v>697.84079999999994</v>
      </c>
      <c r="R26" s="2">
        <v>697.84079999999994</v>
      </c>
      <c r="S26" s="2">
        <v>697.84079999999994</v>
      </c>
      <c r="T26" s="2">
        <v>697.84079999999994</v>
      </c>
    </row>
    <row r="28" spans="1:118" s="4" customFormat="1" ht="15" x14ac:dyDescent="0.25">
      <c r="A28" s="2"/>
      <c r="B28" s="4" t="s">
        <v>30</v>
      </c>
      <c r="N28" s="9">
        <f>N12/M12-1</f>
        <v>-0.13563894781087182</v>
      </c>
      <c r="O28" s="9">
        <f>O12/N12-1</f>
        <v>8.0769013288097158E-2</v>
      </c>
      <c r="P28" s="9">
        <f t="shared" ref="P28:S28" si="23">P12/O12-1</f>
        <v>2.5053418020865026E-2</v>
      </c>
      <c r="Q28" s="9">
        <f t="shared" si="23"/>
        <v>2.5127103279989793E-2</v>
      </c>
      <c r="R28" s="9">
        <f t="shared" si="23"/>
        <v>2.520148905840891E-2</v>
      </c>
      <c r="S28" s="9">
        <f t="shared" si="23"/>
        <v>2.5276571170135265E-2</v>
      </c>
      <c r="T28" s="9">
        <f t="shared" ref="T28" si="24">T12/S12-1</f>
        <v>2.5352345085460914E-2</v>
      </c>
    </row>
    <row r="29" spans="1:118" s="4" customFormat="1" ht="15" x14ac:dyDescent="0.25">
      <c r="A29" s="2"/>
      <c r="B29" s="8" t="s">
        <v>40</v>
      </c>
      <c r="N29" s="9">
        <f>N10/M10-1</f>
        <v>-0.18797476340694008</v>
      </c>
      <c r="O29" s="9">
        <f>O10/N10-1</f>
        <v>0.10981617018631606</v>
      </c>
      <c r="P29" s="9">
        <f t="shared" ref="P29:S29" si="25">P10/O10-1</f>
        <v>2.0000000000000018E-2</v>
      </c>
      <c r="Q29" s="9">
        <f t="shared" si="25"/>
        <v>2.0000000000000018E-2</v>
      </c>
      <c r="R29" s="9">
        <f t="shared" si="25"/>
        <v>2.0000000000000018E-2</v>
      </c>
      <c r="S29" s="9">
        <f t="shared" si="25"/>
        <v>2.0000000000000018E-2</v>
      </c>
      <c r="T29" s="9">
        <f t="shared" ref="T29" si="26">T10/S10-1</f>
        <v>2.0000000000000018E-2</v>
      </c>
    </row>
    <row r="30" spans="1:118" s="4" customFormat="1" ht="15" x14ac:dyDescent="0.25">
      <c r="A30" s="2"/>
      <c r="B30" s="8" t="s">
        <v>41</v>
      </c>
      <c r="N30" s="9">
        <f>N11/M11-1</f>
        <v>4.4293089236909555E-2</v>
      </c>
      <c r="O30" s="9">
        <f>O11/N11-1</f>
        <v>3.1156530408773531E-3</v>
      </c>
      <c r="P30" s="9">
        <f t="shared" ref="P30:S30" si="27">P11/O11-1</f>
        <v>4.0000000000000036E-2</v>
      </c>
      <c r="Q30" s="9">
        <f t="shared" si="27"/>
        <v>4.0000000000000036E-2</v>
      </c>
      <c r="R30" s="9">
        <f t="shared" si="27"/>
        <v>4.0000000000000036E-2</v>
      </c>
      <c r="S30" s="9">
        <f t="shared" si="27"/>
        <v>4.0000000000000036E-2</v>
      </c>
      <c r="T30" s="9">
        <f t="shared" ref="T30" si="28">T11/S11-1</f>
        <v>4.0000000000000036E-2</v>
      </c>
    </row>
    <row r="31" spans="1:118" s="4" customFormat="1" ht="15" x14ac:dyDescent="0.25">
      <c r="A31" s="2"/>
      <c r="B31" s="4" t="s">
        <v>67</v>
      </c>
      <c r="N31" s="9"/>
      <c r="O31" s="9">
        <f>O2/N2-1</f>
        <v>0.53971856559237397</v>
      </c>
      <c r="P31" s="9">
        <f t="shared" ref="P31:T31" si="29">P2/O2-1</f>
        <v>-1</v>
      </c>
      <c r="Q31" s="9" t="e">
        <f t="shared" si="29"/>
        <v>#DIV/0!</v>
      </c>
      <c r="R31" s="9" t="e">
        <f t="shared" si="29"/>
        <v>#DIV/0!</v>
      </c>
      <c r="S31" s="9" t="e">
        <f t="shared" si="29"/>
        <v>#DIV/0!</v>
      </c>
      <c r="T31" s="9" t="e">
        <f t="shared" si="29"/>
        <v>#DIV/0!</v>
      </c>
    </row>
    <row r="32" spans="1:118" x14ac:dyDescent="0.2">
      <c r="B32" s="2" t="s">
        <v>31</v>
      </c>
      <c r="M32" s="6">
        <f>M23/M22</f>
        <v>0.2489922480620155</v>
      </c>
      <c r="N32" s="6">
        <f t="shared" ref="N32:O32" si="30">N23/N22</f>
        <v>0.17494494739417665</v>
      </c>
      <c r="O32" s="6">
        <f t="shared" si="30"/>
        <v>9.3502377179080817E-2</v>
      </c>
      <c r="P32" s="6">
        <v>0.19</v>
      </c>
      <c r="Q32" s="6">
        <v>0.19</v>
      </c>
      <c r="R32" s="6">
        <v>0.19</v>
      </c>
      <c r="S32" s="6">
        <v>0.19</v>
      </c>
      <c r="T32" s="6">
        <v>0.19</v>
      </c>
    </row>
    <row r="34" spans="2:20" x14ac:dyDescent="0.2">
      <c r="B34" s="2" t="s">
        <v>39</v>
      </c>
      <c r="M34" s="6">
        <f>SUM(M15:M16)/M12</f>
        <v>0.22175736307562977</v>
      </c>
      <c r="N34" s="6">
        <f>SUM(N15:N16)/N12</f>
        <v>0.23826972010178116</v>
      </c>
      <c r="O34" s="6">
        <f>SUM(O15:O16)/O12</f>
        <v>0.22235708979040883</v>
      </c>
      <c r="P34" s="6">
        <f>SUM(P15:P16)/P12</f>
        <v>0.23196324506988888</v>
      </c>
      <c r="Q34" s="6">
        <f>SUM(Q15:Q16)/Q12</f>
        <v>0.23626018253678177</v>
      </c>
      <c r="R34" s="6">
        <f>SUM(R15:R16)/R12</f>
        <v>0.24076341982137894</v>
      </c>
      <c r="S34" s="6">
        <f>SUM(S15:S16)/S12</f>
        <v>0.24548166421834794</v>
      </c>
      <c r="T34" s="6">
        <f>SUM(T15:T16)/T12</f>
        <v>0.2504239547561492</v>
      </c>
    </row>
    <row r="35" spans="2:20" x14ac:dyDescent="0.2">
      <c r="B35" s="2" t="s">
        <v>32</v>
      </c>
      <c r="M35" s="12">
        <f>M15/M10</f>
        <v>0.16682649842271294</v>
      </c>
      <c r="N35" s="12">
        <f t="shared" ref="N35:O35" si="31">N15/N10</f>
        <v>0.17461501406305843</v>
      </c>
      <c r="O35" s="12">
        <f t="shared" si="31"/>
        <v>0.15763091570988519</v>
      </c>
      <c r="P35" s="12">
        <v>0.16500000000000001</v>
      </c>
      <c r="Q35" s="12">
        <v>0.16500000000000001</v>
      </c>
      <c r="R35" s="12">
        <v>0.16500000000000001</v>
      </c>
      <c r="S35" s="12">
        <v>0.16500000000000001</v>
      </c>
      <c r="T35" s="12">
        <v>0.16500000000000001</v>
      </c>
    </row>
    <row r="36" spans="2:20" x14ac:dyDescent="0.2">
      <c r="B36" s="2" t="s">
        <v>33</v>
      </c>
      <c r="M36" s="6">
        <f>M16/M11</f>
        <v>0.41061125330788251</v>
      </c>
      <c r="N36" s="6">
        <f t="shared" ref="N36:O36" si="32">N16/N11</f>
        <v>0.40844134263875043</v>
      </c>
      <c r="O36" s="6">
        <f t="shared" si="32"/>
        <v>0.41379881558785769</v>
      </c>
      <c r="P36" s="6">
        <f>O36*1.03</f>
        <v>0.42621278005549346</v>
      </c>
      <c r="Q36" s="6">
        <f t="shared" ref="Q36:T36" si="33">P36*1.03</f>
        <v>0.43899916345715828</v>
      </c>
      <c r="R36" s="6">
        <f t="shared" si="33"/>
        <v>0.45216913836087302</v>
      </c>
      <c r="S36" s="6">
        <f t="shared" si="33"/>
        <v>0.46573421251169922</v>
      </c>
      <c r="T36" s="6">
        <f t="shared" si="33"/>
        <v>0.47970623888705022</v>
      </c>
    </row>
    <row r="37" spans="2:20" x14ac:dyDescent="0.2">
      <c r="B37" s="2" t="s">
        <v>47</v>
      </c>
      <c r="M37" s="6">
        <f>M19/M12</f>
        <v>0.16534540229323272</v>
      </c>
      <c r="N37" s="6">
        <f t="shared" ref="N37:O37" si="34">N19/N12</f>
        <v>0.17707661860333615</v>
      </c>
      <c r="O37" s="6">
        <f t="shared" si="34"/>
        <v>0.1570939759540427</v>
      </c>
      <c r="P37" s="6">
        <v>0.17</v>
      </c>
      <c r="Q37" s="6">
        <v>0.17</v>
      </c>
      <c r="R37" s="6">
        <v>0.17</v>
      </c>
      <c r="S37" s="6">
        <v>0.17</v>
      </c>
      <c r="T37" s="6">
        <v>0.17</v>
      </c>
    </row>
    <row r="39" spans="2:20" x14ac:dyDescent="0.2">
      <c r="B39" s="2" t="s">
        <v>36</v>
      </c>
      <c r="O39" s="2">
        <f>O40-O41</f>
        <v>-30973</v>
      </c>
      <c r="P39" s="2">
        <f>O39+P24</f>
        <v>-27561.588771999996</v>
      </c>
      <c r="Q39" s="2">
        <f t="shared" ref="Q39:S39" si="35">P39+Q24</f>
        <v>-23511.317183730385</v>
      </c>
      <c r="R39" s="2">
        <f t="shared" si="35"/>
        <v>-18752.836583264027</v>
      </c>
      <c r="S39" s="2">
        <f t="shared" si="35"/>
        <v>-13210.522343581733</v>
      </c>
      <c r="T39" s="2">
        <f t="shared" ref="T39" si="36">S39+T24</f>
        <v>-6801.9549434153441</v>
      </c>
    </row>
    <row r="40" spans="2:20" x14ac:dyDescent="0.2">
      <c r="B40" s="2" t="s">
        <v>4</v>
      </c>
      <c r="O40" s="2">
        <v>3633</v>
      </c>
    </row>
    <row r="41" spans="2:20" x14ac:dyDescent="0.2">
      <c r="B41" s="2" t="s">
        <v>5</v>
      </c>
      <c r="O41" s="2">
        <f>19363+12292+2951</f>
        <v>34606</v>
      </c>
    </row>
    <row r="43" spans="2:20" x14ac:dyDescent="0.2">
      <c r="B43" s="2" t="s">
        <v>4</v>
      </c>
    </row>
    <row r="44" spans="2:20" x14ac:dyDescent="0.2">
      <c r="B44" s="2" t="s">
        <v>37</v>
      </c>
    </row>
    <row r="46" spans="2:20" x14ac:dyDescent="0.2">
      <c r="B46" s="2" t="s">
        <v>34</v>
      </c>
      <c r="M46" s="2">
        <f>M24</f>
        <v>2422</v>
      </c>
      <c r="N46" s="2">
        <f t="shared" ref="N46:T46" si="37">N24</f>
        <v>3372</v>
      </c>
      <c r="O46" s="2">
        <f t="shared" si="37"/>
        <v>4576</v>
      </c>
      <c r="P46" s="2">
        <f t="shared" si="37"/>
        <v>3411.4112280000036</v>
      </c>
      <c r="Q46" s="2">
        <f t="shared" si="37"/>
        <v>4050.2715882696093</v>
      </c>
      <c r="R46" s="2">
        <f t="shared" si="37"/>
        <v>4758.4806004663587</v>
      </c>
      <c r="S46" s="2">
        <f t="shared" si="37"/>
        <v>5542.3142396822932</v>
      </c>
      <c r="T46" s="2">
        <f t="shared" si="37"/>
        <v>6408.5674001663892</v>
      </c>
    </row>
    <row r="47" spans="2:20" x14ac:dyDescent="0.2">
      <c r="B47" s="2" t="s">
        <v>35</v>
      </c>
      <c r="M47" s="2">
        <v>2422</v>
      </c>
      <c r="N47" s="2">
        <v>3372</v>
      </c>
      <c r="O47" s="2">
        <v>4576</v>
      </c>
    </row>
    <row r="48" spans="2:20" x14ac:dyDescent="0.2">
      <c r="B48" s="2" t="s">
        <v>48</v>
      </c>
      <c r="M48" s="2">
        <v>3156</v>
      </c>
      <c r="N48" s="2">
        <v>3303</v>
      </c>
      <c r="O48" s="2">
        <v>3123</v>
      </c>
      <c r="P48" s="2">
        <f>O48*(1+P28)</f>
        <v>3201.2418244791616</v>
      </c>
      <c r="Q48" s="2">
        <f t="shared" ref="Q48:T48" si="38">P48*(1+Q28)</f>
        <v>3281.6797584270726</v>
      </c>
      <c r="R48" s="2">
        <f t="shared" si="38"/>
        <v>3364.3829749522743</v>
      </c>
      <c r="S48" s="2">
        <f t="shared" si="38"/>
        <v>3449.4230406622469</v>
      </c>
      <c r="T48" s="2">
        <f t="shared" si="38"/>
        <v>3536.8740039348559</v>
      </c>
    </row>
    <row r="49" spans="1:116" x14ac:dyDescent="0.2">
      <c r="B49" s="2" t="s">
        <v>49</v>
      </c>
      <c r="M49" s="2">
        <v>931</v>
      </c>
      <c r="N49" s="2">
        <v>878</v>
      </c>
      <c r="O49" s="2">
        <v>785</v>
      </c>
      <c r="P49" s="2">
        <f>O49*1.1</f>
        <v>863.50000000000011</v>
      </c>
      <c r="Q49" s="2">
        <f t="shared" ref="Q49:T49" si="39">P49*1.1</f>
        <v>949.85000000000025</v>
      </c>
      <c r="R49" s="2">
        <f t="shared" si="39"/>
        <v>1044.8350000000003</v>
      </c>
      <c r="S49" s="2">
        <f t="shared" si="39"/>
        <v>1149.3185000000003</v>
      </c>
      <c r="T49" s="2">
        <f t="shared" si="39"/>
        <v>1264.2503500000005</v>
      </c>
    </row>
    <row r="50" spans="1:116" x14ac:dyDescent="0.2">
      <c r="B50" s="2" t="s">
        <v>50</v>
      </c>
      <c r="M50" s="2">
        <v>-717</v>
      </c>
      <c r="N50" s="2">
        <v>-91</v>
      </c>
      <c r="O50" s="2">
        <v>-208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V50" s="2" t="s">
        <v>42</v>
      </c>
      <c r="W50" s="10">
        <v>0.06</v>
      </c>
    </row>
    <row r="51" spans="1:116" x14ac:dyDescent="0.2">
      <c r="B51" s="2" t="s">
        <v>51</v>
      </c>
      <c r="M51" s="2">
        <v>961</v>
      </c>
      <c r="N51" s="2">
        <v>609</v>
      </c>
      <c r="O51" s="2">
        <v>453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V51" s="8" t="s">
        <v>43</v>
      </c>
      <c r="W51" s="11">
        <v>0.01</v>
      </c>
    </row>
    <row r="52" spans="1:116" x14ac:dyDescent="0.2">
      <c r="B52" s="2" t="s">
        <v>52</v>
      </c>
      <c r="M52" s="2">
        <v>113</v>
      </c>
      <c r="N52" s="2">
        <v>2977</v>
      </c>
      <c r="O52" s="2">
        <v>-1295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V52" s="2" t="s">
        <v>44</v>
      </c>
      <c r="W52" s="10">
        <v>0.08</v>
      </c>
    </row>
    <row r="53" spans="1:116" ht="15" x14ac:dyDescent="0.25">
      <c r="B53" s="2" t="s">
        <v>53</v>
      </c>
      <c r="M53" s="2">
        <v>-461</v>
      </c>
      <c r="N53" s="2">
        <v>309</v>
      </c>
      <c r="O53" s="2">
        <v>-951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V53" s="4" t="s">
        <v>45</v>
      </c>
      <c r="W53" s="4">
        <f>NPV(W52,P60:XFD60)+main!C5-main!C6</f>
        <v>74493.439377119139</v>
      </c>
    </row>
    <row r="54" spans="1:116" x14ac:dyDescent="0.2">
      <c r="B54" s="2" t="s">
        <v>54</v>
      </c>
      <c r="M54" s="2">
        <v>875</v>
      </c>
      <c r="N54" s="2">
        <v>975</v>
      </c>
      <c r="O54" s="2">
        <v>-3515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V54" s="2" t="s">
        <v>1</v>
      </c>
      <c r="W54" s="2">
        <f>W53/main!C3</f>
        <v>106.74847239817326</v>
      </c>
    </row>
    <row r="55" spans="1:116" ht="15" x14ac:dyDescent="0.25">
      <c r="B55" s="2" t="s">
        <v>55</v>
      </c>
      <c r="M55" s="2">
        <v>973</v>
      </c>
      <c r="N55" s="2">
        <v>-1484</v>
      </c>
      <c r="O55" s="2">
        <v>2347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 t="s">
        <v>38</v>
      </c>
      <c r="V55" s="8" t="s">
        <v>46</v>
      </c>
      <c r="W55" s="9">
        <f>W54/main!C2-1</f>
        <v>-3.8302050466907489E-2</v>
      </c>
    </row>
    <row r="56" spans="1:116" x14ac:dyDescent="0.2">
      <c r="B56" s="2" t="s">
        <v>56</v>
      </c>
      <c r="M56" s="2">
        <v>-8546</v>
      </c>
      <c r="N56" s="2">
        <v>-498</v>
      </c>
      <c r="O56" s="2">
        <v>1703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</row>
    <row r="57" spans="1:116" x14ac:dyDescent="0.2">
      <c r="B57" s="2" t="s">
        <v>57</v>
      </c>
      <c r="M57" s="2">
        <v>3209</v>
      </c>
      <c r="N57" s="2">
        <v>-1022</v>
      </c>
      <c r="O57" s="2">
        <v>-2497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</row>
    <row r="58" spans="1:116" s="4" customFormat="1" ht="15" x14ac:dyDescent="0.25">
      <c r="A58" s="2"/>
      <c r="B58" s="4" t="s">
        <v>58</v>
      </c>
      <c r="M58" s="4">
        <f>SUM(M47:M57)</f>
        <v>2916</v>
      </c>
      <c r="N58" s="4">
        <f t="shared" ref="N58:O58" si="40">SUM(N47:N57)</f>
        <v>9328</v>
      </c>
      <c r="O58" s="4">
        <f t="shared" si="40"/>
        <v>4521</v>
      </c>
      <c r="P58" s="4">
        <f>SUM(P48:P57,P46)</f>
        <v>7476.1530524791651</v>
      </c>
      <c r="Q58" s="4">
        <f t="shared" ref="Q58:T58" si="41">SUM(Q48:Q57,Q46)</f>
        <v>8281.8013466966822</v>
      </c>
      <c r="R58" s="4">
        <f t="shared" si="41"/>
        <v>9167.6985754186335</v>
      </c>
      <c r="S58" s="4">
        <f t="shared" si="41"/>
        <v>10141.055780344541</v>
      </c>
      <c r="T58" s="4">
        <f t="shared" si="41"/>
        <v>11209.691754101244</v>
      </c>
    </row>
    <row r="59" spans="1:116" s="4" customFormat="1" ht="15" x14ac:dyDescent="0.25">
      <c r="A59" s="2"/>
      <c r="B59" s="4" t="s">
        <v>59</v>
      </c>
      <c r="M59" s="4">
        <v>-3003</v>
      </c>
      <c r="N59" s="4">
        <v>-2756</v>
      </c>
      <c r="O59" s="4">
        <v>-2652</v>
      </c>
      <c r="P59" s="4">
        <f>O59*(1+P28)</f>
        <v>-2718.4416645913338</v>
      </c>
      <c r="Q59" s="4">
        <f t="shared" ref="Q59:T59" si="42">P59*(1+Q28)</f>
        <v>-2786.7482290581474</v>
      </c>
      <c r="R59" s="4">
        <f t="shared" si="42"/>
        <v>-2856.9784340612969</v>
      </c>
      <c r="S59" s="4">
        <f t="shared" si="42"/>
        <v>-2929.1930527813888</v>
      </c>
      <c r="T59" s="4">
        <f t="shared" si="42"/>
        <v>-3003.4549658774372</v>
      </c>
    </row>
    <row r="60" spans="1:116" s="4" customFormat="1" ht="15" x14ac:dyDescent="0.25">
      <c r="A60" s="2"/>
      <c r="B60" s="4" t="s">
        <v>60</v>
      </c>
      <c r="M60" s="4">
        <f>M58+M59</f>
        <v>-87</v>
      </c>
      <c r="N60" s="4">
        <f t="shared" ref="N60:O60" si="43">N58+N59</f>
        <v>6572</v>
      </c>
      <c r="O60" s="4">
        <f t="shared" si="43"/>
        <v>1869</v>
      </c>
      <c r="P60" s="4">
        <f t="shared" ref="P60" si="44">P58+P59</f>
        <v>4757.7113878878317</v>
      </c>
      <c r="Q60" s="4">
        <f t="shared" ref="Q60" si="45">Q58+Q59</f>
        <v>5495.0531176385348</v>
      </c>
      <c r="R60" s="4">
        <f t="shared" ref="R60" si="46">R58+R59</f>
        <v>6310.7201413573366</v>
      </c>
      <c r="S60" s="4">
        <f t="shared" ref="S60" si="47">S58+S59</f>
        <v>7211.8627275631516</v>
      </c>
      <c r="T60" s="4">
        <f t="shared" ref="T60" si="48">T58+T59</f>
        <v>8206.2367882238068</v>
      </c>
      <c r="U60" s="4">
        <f>T60*(1+$W$51)</f>
        <v>8288.2991561060444</v>
      </c>
      <c r="V60" s="4">
        <f>U60*(1+$W$51)</f>
        <v>8371.1821476671048</v>
      </c>
      <c r="W60" s="4">
        <f>V60*(1+$W$51)</f>
        <v>8454.8939691437754</v>
      </c>
      <c r="X60" s="4">
        <f>W60*(1+$W$51)</f>
        <v>8539.4429088352135</v>
      </c>
      <c r="Y60" s="4">
        <f>X60*(1+$W$51)</f>
        <v>8624.8373379235654</v>
      </c>
      <c r="Z60" s="4">
        <f>Y60*(1+$W$51)</f>
        <v>8711.0857113028014</v>
      </c>
      <c r="AA60" s="4">
        <f>Z60*(1+$W$51)</f>
        <v>8798.1965684158295</v>
      </c>
      <c r="AB60" s="4">
        <f>AA60*(1+$W$51)</f>
        <v>8886.1785340999886</v>
      </c>
      <c r="AC60" s="4">
        <f>AB60*(1+$W$51)</f>
        <v>8975.0403194409882</v>
      </c>
      <c r="AD60" s="4">
        <f>AC60*(1+$W$51)</f>
        <v>9064.7907226353982</v>
      </c>
      <c r="AE60" s="4">
        <f>AD60*(1+$W$51)</f>
        <v>9155.4386298617519</v>
      </c>
      <c r="AF60" s="4">
        <f>AE60*(1+$W$51)</f>
        <v>9246.9930161603697</v>
      </c>
      <c r="AG60" s="4">
        <f>AF60*(1+$W$51)</f>
        <v>9339.4629463219735</v>
      </c>
      <c r="AH60" s="4">
        <f>AG60*(1+$W$51)</f>
        <v>9432.8575757851941</v>
      </c>
      <c r="AI60" s="4">
        <f>AH60*(1+$W$51)</f>
        <v>9527.1861515430464</v>
      </c>
      <c r="AJ60" s="4">
        <f>AI60*(1+$W$51)</f>
        <v>9622.4580130584764</v>
      </c>
      <c r="AK60" s="4">
        <f>AJ60*(1+$W$51)</f>
        <v>9718.6825931890617</v>
      </c>
      <c r="AL60" s="4">
        <f>AK60*(1+$W$51)</f>
        <v>9815.8694191209524</v>
      </c>
      <c r="AM60" s="4">
        <f>AL60*(1+$W$51)</f>
        <v>9914.0281133121625</v>
      </c>
      <c r="AN60" s="4">
        <f>AM60*(1+$W$51)</f>
        <v>10013.168394445283</v>
      </c>
      <c r="AO60" s="4">
        <f>AN60*(1+$W$51)</f>
        <v>10113.300078389737</v>
      </c>
      <c r="AP60" s="4">
        <f>AO60*(1+$W$51)</f>
        <v>10214.433079173634</v>
      </c>
      <c r="AQ60" s="4">
        <f>AP60*(1+$W$51)</f>
        <v>10316.57740996537</v>
      </c>
      <c r="AR60" s="4">
        <f>AQ60*(1+$W$51)</f>
        <v>10419.743184065024</v>
      </c>
      <c r="AS60" s="4">
        <f>AR60*(1+$W$51)</f>
        <v>10523.940615905674</v>
      </c>
      <c r="AT60" s="4">
        <f>AS60*(1+$W$51)</f>
        <v>10629.180022064731</v>
      </c>
      <c r="AU60" s="4">
        <f>AT60*(1+$W$51)</f>
        <v>10735.471822285379</v>
      </c>
      <c r="AV60" s="4">
        <f>AU60*(1+$W$51)</f>
        <v>10842.826540508233</v>
      </c>
      <c r="AW60" s="4">
        <f>AV60*(1+$W$51)</f>
        <v>10951.254805913315</v>
      </c>
      <c r="AX60" s="4">
        <f>AW60*(1+$W$51)</f>
        <v>11060.767353972449</v>
      </c>
      <c r="AY60" s="4">
        <f>AX60*(1+$W$51)</f>
        <v>11171.375027512173</v>
      </c>
      <c r="AZ60" s="4">
        <f>AY60*(1+$W$51)</f>
        <v>11283.088777787294</v>
      </c>
      <c r="BA60" s="4">
        <f>AZ60*(1+$W$51)</f>
        <v>11395.919665565167</v>
      </c>
      <c r="BB60" s="4">
        <f>BA60*(1+$W$51)</f>
        <v>11509.878862220818</v>
      </c>
      <c r="BC60" s="4">
        <f>BB60*(1+$W$51)</f>
        <v>11624.977650843026</v>
      </c>
      <c r="BD60" s="4">
        <f>BC60*(1+$W$51)</f>
        <v>11741.227427351456</v>
      </c>
      <c r="BE60" s="4">
        <f>BD60*(1+$W$51)</f>
        <v>11858.63970162497</v>
      </c>
      <c r="BF60" s="4">
        <f>BE60*(1+$W$51)</f>
        <v>11977.22609864122</v>
      </c>
      <c r="BG60" s="4">
        <f>BF60*(1+$W$51)</f>
        <v>12096.998359627632</v>
      </c>
      <c r="BH60" s="4">
        <f>BG60*(1+$W$51)</f>
        <v>12217.968343223909</v>
      </c>
      <c r="BI60" s="4">
        <f>BH60*(1+$W$51)</f>
        <v>12340.148026656148</v>
      </c>
      <c r="BJ60" s="4">
        <f>BI60*(1+$W$51)</f>
        <v>12463.549506922711</v>
      </c>
      <c r="BK60" s="4">
        <f>BJ60*(1+$W$51)</f>
        <v>12588.185001991938</v>
      </c>
      <c r="BL60" s="4">
        <f>BK60*(1+$W$51)</f>
        <v>12714.066852011858</v>
      </c>
      <c r="BM60" s="4">
        <f>BL60*(1+$W$51)</f>
        <v>12841.207520531976</v>
      </c>
      <c r="BN60" s="4">
        <f>BM60*(1+$W$51)</f>
        <v>12969.619595737297</v>
      </c>
      <c r="BO60" s="4">
        <f>BN60*(1+$W$51)</f>
        <v>13099.315791694669</v>
      </c>
      <c r="BP60" s="4">
        <f>BO60*(1+$W$51)</f>
        <v>13230.308949611615</v>
      </c>
      <c r="BQ60" s="4">
        <f>BP60*(1+$W$51)</f>
        <v>13362.612039107731</v>
      </c>
      <c r="BR60" s="4">
        <f>BQ60*(1+$W$51)</f>
        <v>13496.238159498809</v>
      </c>
      <c r="BS60" s="4">
        <f>BR60*(1+$W$51)</f>
        <v>13631.200541093798</v>
      </c>
      <c r="BT60" s="4">
        <f>BS60*(1+$W$51)</f>
        <v>13767.512546504737</v>
      </c>
      <c r="BU60" s="4">
        <f>BT60*(1+$W$51)</f>
        <v>13905.187671969785</v>
      </c>
      <c r="BV60" s="4">
        <f>BU60*(1+$W$51)</f>
        <v>14044.239548689482</v>
      </c>
      <c r="BW60" s="4">
        <f>BV60*(1+$W$51)</f>
        <v>14184.681944176376</v>
      </c>
      <c r="BX60" s="4">
        <f>BW60*(1+$W$51)</f>
        <v>14326.52876361814</v>
      </c>
      <c r="BY60" s="4">
        <f>BX60*(1+$W$51)</f>
        <v>14469.794051254321</v>
      </c>
      <c r="BZ60" s="4">
        <f>BY60*(1+$W$51)</f>
        <v>14614.491991766865</v>
      </c>
      <c r="CA60" s="4">
        <f>BZ60*(1+$W$51)</f>
        <v>14760.636911684534</v>
      </c>
      <c r="CB60" s="4">
        <f>CA60*(1+$W$51)</f>
        <v>14908.24328080138</v>
      </c>
      <c r="CC60" s="4">
        <f>CB60*(1+$W$51)</f>
        <v>15057.325713609394</v>
      </c>
      <c r="CD60" s="4">
        <f>CC60*(1+$W$51)</f>
        <v>15207.898970745489</v>
      </c>
      <c r="CE60" s="4">
        <f>CD60*(1+$W$51)</f>
        <v>15359.977960452945</v>
      </c>
      <c r="CF60" s="4">
        <f>CE60*(1+$W$51)</f>
        <v>15513.577740057475</v>
      </c>
      <c r="CG60" s="4">
        <f>CF60*(1+$W$51)</f>
        <v>15668.713517458051</v>
      </c>
      <c r="CH60" s="4">
        <f>CG60*(1+$W$51)</f>
        <v>15825.400652632632</v>
      </c>
      <c r="CI60" s="4">
        <f>CH60*(1+$W$51)</f>
        <v>15983.654659158958</v>
      </c>
      <c r="CJ60" s="4">
        <f>CI60*(1+$W$51)</f>
        <v>16143.491205750548</v>
      </c>
      <c r="CK60" s="4">
        <f>CJ60*(1+$W$51)</f>
        <v>16304.926117808054</v>
      </c>
      <c r="CL60" s="4">
        <f>CK60*(1+$W$51)</f>
        <v>16467.975378986135</v>
      </c>
      <c r="CM60" s="4">
        <f>CL60*(1+$W$51)</f>
        <v>16632.655132775995</v>
      </c>
      <c r="CN60" s="4">
        <f>CM60*(1+$W$51)</f>
        <v>16798.981684103754</v>
      </c>
      <c r="CO60" s="4">
        <f>CN60*(1+$W$51)</f>
        <v>16966.97150094479</v>
      </c>
      <c r="CP60" s="4">
        <f>CO60*(1+$W$51)</f>
        <v>17136.641215954238</v>
      </c>
      <c r="CQ60" s="4">
        <f>CP60*(1+$W$51)</f>
        <v>17308.007628113781</v>
      </c>
      <c r="CR60" s="4">
        <f>CQ60*(1+$W$51)</f>
        <v>17481.087704394919</v>
      </c>
      <c r="CS60" s="4">
        <f>CR60*(1+$W$51)</f>
        <v>17655.898581438869</v>
      </c>
      <c r="CT60" s="4">
        <f>CS60*(1+$W$51)</f>
        <v>17832.457567253259</v>
      </c>
      <c r="CU60" s="4">
        <f>CT60*(1+$W$51)</f>
        <v>18010.782142925793</v>
      </c>
      <c r="CV60" s="4">
        <f>CU60*(1+$W$51)</f>
        <v>18190.88996435505</v>
      </c>
      <c r="CW60" s="4">
        <f>CV60*(1+$W$51)</f>
        <v>18372.7988639986</v>
      </c>
      <c r="CX60" s="4">
        <f>CW60*(1+$W$51)</f>
        <v>18556.526852638584</v>
      </c>
      <c r="CY60" s="4">
        <f>CX60*(1+$W$51)</f>
        <v>18742.092121164969</v>
      </c>
      <c r="CZ60" s="4">
        <f>CY60*(1+$W$51)</f>
        <v>18929.51304237662</v>
      </c>
      <c r="DA60" s="4">
        <f>CZ60*(1+$W$51)</f>
        <v>19118.808172800385</v>
      </c>
      <c r="DB60" s="4">
        <f>DA60*(1+$W$51)</f>
        <v>19309.996254528389</v>
      </c>
      <c r="DC60" s="4">
        <f>DB60*(1+$W$51)</f>
        <v>19503.096217073671</v>
      </c>
      <c r="DD60" s="4">
        <f>DC60*(1+$W$51)</f>
        <v>19698.127179244409</v>
      </c>
      <c r="DE60" s="4">
        <f>DD60*(1+$W$51)</f>
        <v>19895.108451036853</v>
      </c>
      <c r="DF60" s="4">
        <f>DE60*(1+$W$51)</f>
        <v>20094.059535547221</v>
      </c>
      <c r="DG60" s="4">
        <f>DF60*(1+$W$51)</f>
        <v>20295.000130902692</v>
      </c>
      <c r="DH60" s="4">
        <f>DG60*(1+$W$51)</f>
        <v>20497.950132211718</v>
      </c>
      <c r="DI60" s="4">
        <f>DH60*(1+$W$51)</f>
        <v>20702.929633533837</v>
      </c>
      <c r="DJ60" s="4">
        <f>DI60*(1+$W$51)</f>
        <v>20909.958929869175</v>
      </c>
      <c r="DK60" s="4">
        <f>DJ60*(1+$W$51)</f>
        <v>21119.058519167866</v>
      </c>
      <c r="DL60" s="4">
        <f>DK60*(1+$W$51)</f>
        <v>21330.249104359544</v>
      </c>
    </row>
  </sheetData>
  <hyperlinks>
    <hyperlink ref="A1" location="Sheet1!A1" display="Main" xr:uid="{6B0C802A-F7BA-4EEA-ADAB-A801FB6947E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2025-05-14T22:31:56Z</dcterms:created>
  <dcterms:modified xsi:type="dcterms:W3CDTF">2025-05-15T01:11:07Z</dcterms:modified>
</cp:coreProperties>
</file>