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C5DF75E8-C001-4918-8918-E6CE811E10B4}" xr6:coauthVersionLast="47" xr6:coauthVersionMax="47" xr10:uidLastSave="{00000000-0000-0000-0000-000000000000}"/>
  <bookViews>
    <workbookView xWindow="-105" yWindow="0" windowWidth="14610" windowHeight="15585" activeTab="1" xr2:uid="{6C0E168E-788B-45FF-8F42-3910E68FBF1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2" l="1"/>
  <c r="K33" i="2"/>
  <c r="M9" i="2"/>
  <c r="N9" i="2" s="1"/>
  <c r="O9" i="2" s="1"/>
  <c r="P9" i="2" s="1"/>
  <c r="Q9" i="2" s="1"/>
  <c r="M10" i="2"/>
  <c r="N10" i="2" s="1"/>
  <c r="O10" i="2" s="1"/>
  <c r="O14" i="2" s="1"/>
  <c r="L44" i="2"/>
  <c r="L42" i="2" s="1"/>
  <c r="M23" i="2" s="1"/>
  <c r="M14" i="2"/>
  <c r="M17" i="2" s="1"/>
  <c r="M8" i="2"/>
  <c r="L31" i="2"/>
  <c r="L32" i="2"/>
  <c r="K32" i="2"/>
  <c r="K31" i="2"/>
  <c r="K15" i="2"/>
  <c r="L15" i="2"/>
  <c r="L37" i="2" s="1"/>
  <c r="M37" i="2" s="1"/>
  <c r="N37" i="2" s="1"/>
  <c r="O37" i="2" s="1"/>
  <c r="K16" i="2"/>
  <c r="K38" i="2" s="1"/>
  <c r="L16" i="2"/>
  <c r="L38" i="2" s="1"/>
  <c r="M38" i="2" s="1"/>
  <c r="N38" i="2" s="1"/>
  <c r="O38" i="2" s="1"/>
  <c r="P38" i="2" s="1"/>
  <c r="Q38" i="2" s="1"/>
  <c r="K17" i="2"/>
  <c r="L17" i="2"/>
  <c r="J16" i="2"/>
  <c r="J38" i="2" s="1"/>
  <c r="J17" i="2"/>
  <c r="J15" i="2"/>
  <c r="J37" i="2" s="1"/>
  <c r="K21" i="2"/>
  <c r="L21" i="2"/>
  <c r="J21" i="2"/>
  <c r="K11" i="2"/>
  <c r="L11" i="2"/>
  <c r="L40" i="2" s="1"/>
  <c r="J11" i="2"/>
  <c r="K1" i="2"/>
  <c r="L1" i="2" s="1"/>
  <c r="M1" i="2" s="1"/>
  <c r="N1" i="2" s="1"/>
  <c r="O1" i="2" s="1"/>
  <c r="P1" i="2" s="1"/>
  <c r="Q1" i="2" s="1"/>
  <c r="D7" i="1"/>
  <c r="D6" i="1"/>
  <c r="D4" i="1"/>
  <c r="K40" i="2" l="1"/>
  <c r="K36" i="2"/>
  <c r="J40" i="2"/>
  <c r="M12" i="2"/>
  <c r="M15" i="2" s="1"/>
  <c r="N8" i="2"/>
  <c r="J22" i="2"/>
  <c r="J24" i="2" s="1"/>
  <c r="J26" i="2" s="1"/>
  <c r="J27" i="2" s="1"/>
  <c r="M13" i="2"/>
  <c r="M16" i="2" s="1"/>
  <c r="K37" i="2"/>
  <c r="L36" i="2"/>
  <c r="P10" i="2"/>
  <c r="Q10" i="2" s="1"/>
  <c r="K22" i="2"/>
  <c r="K24" i="2" s="1"/>
  <c r="N13" i="2"/>
  <c r="P37" i="2"/>
  <c r="Q37" i="2" s="1"/>
  <c r="P13" i="2"/>
  <c r="P16" i="2" s="1"/>
  <c r="O13" i="2"/>
  <c r="O16" i="2" s="1"/>
  <c r="N16" i="2"/>
  <c r="N14" i="2"/>
  <c r="N17" i="2" s="1"/>
  <c r="O17" i="2"/>
  <c r="L22" i="2"/>
  <c r="L24" i="2" s="1"/>
  <c r="L26" i="2" s="1"/>
  <c r="L27" i="2" s="1"/>
  <c r="L34" i="2"/>
  <c r="L30" i="2"/>
  <c r="K30" i="2"/>
  <c r="J36" i="2"/>
  <c r="M11" i="2"/>
  <c r="J34" i="2" l="1"/>
  <c r="K26" i="2"/>
  <c r="K27" i="2" s="1"/>
  <c r="K34" i="2"/>
  <c r="N11" i="2"/>
  <c r="N21" i="2" s="1"/>
  <c r="O8" i="2"/>
  <c r="N12" i="2"/>
  <c r="N15" i="2" s="1"/>
  <c r="N22" i="2" s="1"/>
  <c r="Q13" i="2"/>
  <c r="Q16" i="2" s="1"/>
  <c r="Q14" i="2"/>
  <c r="P14" i="2"/>
  <c r="Q17" i="2"/>
  <c r="P17" i="2"/>
  <c r="M30" i="2"/>
  <c r="M21" i="2"/>
  <c r="M22" i="2" s="1"/>
  <c r="M24" i="2" s="1"/>
  <c r="N30" i="2"/>
  <c r="M36" i="2"/>
  <c r="N36" i="2" l="1"/>
  <c r="P8" i="2"/>
  <c r="O12" i="2"/>
  <c r="O15" i="2" s="1"/>
  <c r="O11" i="2"/>
  <c r="M25" i="2"/>
  <c r="M26" i="2" s="1"/>
  <c r="O21" i="2" l="1"/>
  <c r="O30" i="2"/>
  <c r="O22" i="2"/>
  <c r="O36" i="2"/>
  <c r="Q8" i="2"/>
  <c r="P12" i="2"/>
  <c r="P15" i="2" s="1"/>
  <c r="P11" i="2"/>
  <c r="M27" i="2"/>
  <c r="M42" i="2"/>
  <c r="N23" i="2" s="1"/>
  <c r="N24" i="2" s="1"/>
  <c r="P30" i="2" l="1"/>
  <c r="P21" i="2"/>
  <c r="P22" i="2" s="1"/>
  <c r="P36" i="2"/>
  <c r="Q12" i="2"/>
  <c r="Q15" i="2" s="1"/>
  <c r="Q11" i="2"/>
  <c r="N25" i="2"/>
  <c r="N26" i="2" s="1"/>
  <c r="Q21" i="2" l="1"/>
  <c r="Q30" i="2"/>
  <c r="Q36" i="2"/>
  <c r="Q22" i="2"/>
  <c r="N27" i="2"/>
  <c r="N42" i="2"/>
  <c r="O23" i="2"/>
  <c r="O24" i="2" s="1"/>
  <c r="O25" i="2" l="1"/>
  <c r="O26" i="2" s="1"/>
  <c r="O27" i="2" l="1"/>
  <c r="O42" i="2"/>
  <c r="P23" i="2" s="1"/>
  <c r="P24" i="2" s="1"/>
  <c r="P25" i="2" l="1"/>
  <c r="P26" i="2" s="1"/>
  <c r="P27" i="2" l="1"/>
  <c r="P42" i="2"/>
  <c r="Q23" i="2" l="1"/>
  <c r="Q24" i="2" s="1"/>
  <c r="Q25" i="2" l="1"/>
  <c r="Q26" i="2" s="1"/>
  <c r="Q27" i="2" l="1"/>
  <c r="R26" i="2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Q42" i="2"/>
  <c r="T36" i="2" l="1"/>
  <c r="T37" i="2" s="1"/>
  <c r="T38" i="2" s="1"/>
</calcChain>
</file>

<file path=xl/sharedStrings.xml><?xml version="1.0" encoding="utf-8"?>
<sst xmlns="http://schemas.openxmlformats.org/spreadsheetml/2006/main" count="69" uniqueCount="60">
  <si>
    <t>HPE</t>
  </si>
  <si>
    <t>Price</t>
  </si>
  <si>
    <t>Shares</t>
  </si>
  <si>
    <t>MC</t>
  </si>
  <si>
    <t>Cash</t>
  </si>
  <si>
    <t>Debt</t>
  </si>
  <si>
    <t>EV</t>
  </si>
  <si>
    <t>Q125</t>
  </si>
  <si>
    <t>Main</t>
  </si>
  <si>
    <t>Products</t>
  </si>
  <si>
    <t>Services</t>
  </si>
  <si>
    <t>Revenue</t>
  </si>
  <si>
    <t>Financing Income</t>
  </si>
  <si>
    <t>Products COGS</t>
  </si>
  <si>
    <t>Services COGS</t>
  </si>
  <si>
    <t>Financing COGS</t>
  </si>
  <si>
    <t>Products GP</t>
  </si>
  <si>
    <t>Services GP</t>
  </si>
  <si>
    <t>Financing GP</t>
  </si>
  <si>
    <t>R&amp;D</t>
  </si>
  <si>
    <t>SG&amp;A</t>
  </si>
  <si>
    <t>Amort</t>
  </si>
  <si>
    <t>Operating Expenses</t>
  </si>
  <si>
    <t>Operating Income</t>
  </si>
  <si>
    <t>Interest Income</t>
  </si>
  <si>
    <t>Pretax Income</t>
  </si>
  <si>
    <t>Tax</t>
  </si>
  <si>
    <t>Net Income</t>
  </si>
  <si>
    <t>EPS</t>
  </si>
  <si>
    <t>Revenue y/y</t>
  </si>
  <si>
    <t>Tax Rate</t>
  </si>
  <si>
    <t>Products y/y</t>
  </si>
  <si>
    <t>Services y/y</t>
  </si>
  <si>
    <t>Servers y/y</t>
  </si>
  <si>
    <t>Gross Margin</t>
  </si>
  <si>
    <t>Products GM</t>
  </si>
  <si>
    <t>Services GM</t>
  </si>
  <si>
    <t>Servers GM</t>
  </si>
  <si>
    <t>OPEX Margin</t>
  </si>
  <si>
    <t>Net Cash</t>
  </si>
  <si>
    <t>AR</t>
  </si>
  <si>
    <t>AP</t>
  </si>
  <si>
    <t>Model NI</t>
  </si>
  <si>
    <t>Reported NI</t>
  </si>
  <si>
    <t>D&amp;A</t>
  </si>
  <si>
    <t>Q124</t>
  </si>
  <si>
    <t>Q224</t>
  </si>
  <si>
    <t>Q324</t>
  </si>
  <si>
    <t>Q424</t>
  </si>
  <si>
    <t>Q225</t>
  </si>
  <si>
    <t>ROIC</t>
  </si>
  <si>
    <t>Maturity</t>
  </si>
  <si>
    <t>Discount</t>
  </si>
  <si>
    <t>NPV</t>
  </si>
  <si>
    <t>Diff</t>
  </si>
  <si>
    <t>Server</t>
  </si>
  <si>
    <t>Hybrid Cloud</t>
  </si>
  <si>
    <t>Intelligent Edge</t>
  </si>
  <si>
    <t>Financial Services</t>
  </si>
  <si>
    <t>Corporate &amp;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</si>
</sst>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3" fontId="0" fillId="0" borderId="0" xfId="0" applyNumberFormat="1" applyFont="1"/>
    <xf numFmtId="10" fontId="0" fillId="0" borderId="0" xfId="0" applyNumberFormat="1"/>
    <xf numFmtId="1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7</xdr:col>
      <xdr:colOff>9525</xdr:colOff>
      <xdr:row>77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11E814D-BC53-83FC-30FE-1BA3925C6317}"/>
            </a:ext>
          </a:extLst>
        </xdr:cNvPr>
        <xdr:cNvCxnSpPr/>
      </xdr:nvCxnSpPr>
      <xdr:spPr>
        <a:xfrm>
          <a:off x="5086350" y="0"/>
          <a:ext cx="0" cy="129063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0</xdr:row>
      <xdr:rowOff>0</xdr:rowOff>
    </xdr:from>
    <xdr:to>
      <xdr:col>12</xdr:col>
      <xdr:colOff>9525</xdr:colOff>
      <xdr:row>77</xdr:row>
      <xdr:rowOff>28575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8564BA4-729B-448B-9EEC-8889C03EA2E2}"/>
            </a:ext>
          </a:extLst>
        </xdr:cNvPr>
        <xdr:cNvCxnSpPr/>
      </xdr:nvCxnSpPr>
      <xdr:spPr>
        <a:xfrm>
          <a:off x="8515350" y="0"/>
          <a:ext cx="0" cy="129063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3E3D-6194-40F4-8257-FCE0A2EADA75}">
  <dimension ref="A1:E7"/>
  <sheetViews>
    <sheetView zoomScale="235" zoomScaleNormal="235" workbookViewId="0">
      <selection activeCell="D6" sqref="D6"/>
    </sheetView>
  </sheetViews>
  <sheetFormatPr defaultRowHeight="14.25" x14ac:dyDescent="0.2"/>
  <sheetData>
    <row r="1" spans="1:5" ht="15" x14ac:dyDescent="0.25">
      <c r="A1" s="1" t="s">
        <v>0</v>
      </c>
    </row>
    <row r="2" spans="1:5" x14ac:dyDescent="0.2">
      <c r="C2" t="s">
        <v>1</v>
      </c>
      <c r="D2" s="3">
        <v>17.850000000000001</v>
      </c>
    </row>
    <row r="3" spans="1:5" x14ac:dyDescent="0.2">
      <c r="C3" t="s">
        <v>2</v>
      </c>
      <c r="D3" s="3">
        <v>1313.578</v>
      </c>
      <c r="E3" t="s">
        <v>7</v>
      </c>
    </row>
    <row r="4" spans="1:5" x14ac:dyDescent="0.2">
      <c r="C4" t="s">
        <v>3</v>
      </c>
      <c r="D4" s="3">
        <f>D3*D2</f>
        <v>23447.367300000002</v>
      </c>
    </row>
    <row r="5" spans="1:5" x14ac:dyDescent="0.2">
      <c r="C5" t="s">
        <v>4</v>
      </c>
      <c r="D5" s="3">
        <v>13431</v>
      </c>
      <c r="E5" t="s">
        <v>7</v>
      </c>
    </row>
    <row r="6" spans="1:5" x14ac:dyDescent="0.2">
      <c r="C6" t="s">
        <v>5</v>
      </c>
      <c r="D6" s="3">
        <f>13272+6869</f>
        <v>20141</v>
      </c>
      <c r="E6" t="s">
        <v>7</v>
      </c>
    </row>
    <row r="7" spans="1:5" x14ac:dyDescent="0.2">
      <c r="C7" t="s">
        <v>6</v>
      </c>
      <c r="D7" s="3">
        <f>D4+D6-D5</f>
        <v>30157.367299999998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80CF-2F5B-41F5-B0D5-548AB18633EC}">
  <dimension ref="A1:DK54"/>
  <sheetViews>
    <sheetView tabSelected="1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M2" sqref="M2"/>
    </sheetView>
  </sheetViews>
  <sheetFormatPr defaultRowHeight="14.25" x14ac:dyDescent="0.2"/>
  <cols>
    <col min="1" max="1" width="4.25" style="3" customWidth="1"/>
    <col min="2" max="2" width="17.375" style="3" customWidth="1"/>
    <col min="3" max="16384" width="9" style="3"/>
  </cols>
  <sheetData>
    <row r="1" spans="1:17" x14ac:dyDescent="0.2">
      <c r="A1" s="4" t="s">
        <v>8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7</v>
      </c>
      <c r="H1" s="3" t="s">
        <v>49</v>
      </c>
      <c r="J1" s="6">
        <v>2022</v>
      </c>
      <c r="K1" s="6">
        <f>J1+1</f>
        <v>2023</v>
      </c>
      <c r="L1" s="6">
        <f t="shared" ref="L1:Q1" si="0">K1+1</f>
        <v>2024</v>
      </c>
      <c r="M1" s="6">
        <f t="shared" si="0"/>
        <v>2025</v>
      </c>
      <c r="N1" s="6">
        <f t="shared" si="0"/>
        <v>2026</v>
      </c>
      <c r="O1" s="6">
        <f t="shared" si="0"/>
        <v>2027</v>
      </c>
      <c r="P1" s="6">
        <f t="shared" si="0"/>
        <v>2028</v>
      </c>
      <c r="Q1" s="6">
        <f t="shared" si="0"/>
        <v>2029</v>
      </c>
    </row>
    <row r="2" spans="1:17" s="5" customFormat="1" ht="15" x14ac:dyDescent="0.25">
      <c r="A2" s="4"/>
      <c r="B2" s="5" t="s">
        <v>55</v>
      </c>
      <c r="J2" s="5">
        <v>15137</v>
      </c>
      <c r="K2" s="5">
        <v>13926</v>
      </c>
      <c r="L2" s="5">
        <v>15931</v>
      </c>
      <c r="M2" s="11"/>
      <c r="N2" s="11"/>
      <c r="O2" s="11"/>
      <c r="P2" s="11"/>
      <c r="Q2" s="11"/>
    </row>
    <row r="3" spans="1:17" x14ac:dyDescent="0.2">
      <c r="A3" s="4"/>
      <c r="B3" s="3" t="s">
        <v>56</v>
      </c>
      <c r="J3" s="9">
        <v>5173</v>
      </c>
      <c r="K3" s="9">
        <v>5396</v>
      </c>
      <c r="L3" s="9">
        <v>5172</v>
      </c>
      <c r="M3" s="6"/>
      <c r="N3" s="6"/>
      <c r="O3" s="6"/>
      <c r="P3" s="6"/>
      <c r="Q3" s="6"/>
    </row>
    <row r="4" spans="1:17" x14ac:dyDescent="0.2">
      <c r="A4" s="4"/>
      <c r="B4" s="3" t="s">
        <v>57</v>
      </c>
      <c r="J4" s="9">
        <v>3849</v>
      </c>
      <c r="K4" s="9">
        <v>5362</v>
      </c>
      <c r="L4" s="9">
        <v>4501</v>
      </c>
      <c r="M4" s="6"/>
      <c r="N4" s="6"/>
      <c r="O4" s="6"/>
      <c r="P4" s="6"/>
      <c r="Q4" s="6"/>
    </row>
    <row r="5" spans="1:17" x14ac:dyDescent="0.2">
      <c r="A5" s="4"/>
      <c r="B5" s="3" t="s">
        <v>58</v>
      </c>
      <c r="J5" s="9">
        <v>3326</v>
      </c>
      <c r="K5" s="9">
        <v>3466</v>
      </c>
      <c r="L5" s="9">
        <v>3509</v>
      </c>
      <c r="M5" s="6"/>
      <c r="N5" s="6"/>
      <c r="O5" s="6"/>
      <c r="P5" s="6"/>
      <c r="Q5" s="6"/>
    </row>
    <row r="6" spans="1:17" x14ac:dyDescent="0.2">
      <c r="A6" s="4"/>
      <c r="B6" s="3" t="s">
        <v>59</v>
      </c>
      <c r="J6" s="9">
        <v>1011</v>
      </c>
      <c r="K6" s="9">
        <v>985</v>
      </c>
      <c r="L6" s="9">
        <v>1014</v>
      </c>
      <c r="M6" s="6"/>
      <c r="N6" s="6"/>
      <c r="O6" s="6"/>
      <c r="P6" s="6"/>
      <c r="Q6" s="6"/>
    </row>
    <row r="7" spans="1:17" x14ac:dyDescent="0.2">
      <c r="A7" s="4"/>
      <c r="J7" s="6"/>
      <c r="K7" s="6"/>
      <c r="L7" s="6"/>
      <c r="M7" s="6"/>
      <c r="N7" s="6"/>
      <c r="O7" s="6"/>
      <c r="P7" s="6"/>
      <c r="Q7" s="6"/>
    </row>
    <row r="8" spans="1:17" x14ac:dyDescent="0.2">
      <c r="B8" s="3" t="s">
        <v>9</v>
      </c>
      <c r="J8" s="3">
        <v>17794</v>
      </c>
      <c r="K8" s="3">
        <v>18100</v>
      </c>
      <c r="L8" s="3">
        <v>18587</v>
      </c>
      <c r="M8" s="3">
        <f>L8*1.02</f>
        <v>18958.740000000002</v>
      </c>
      <c r="N8" s="3">
        <f t="shared" ref="N8:Q8" si="1">M8*1.02</f>
        <v>19337.914800000002</v>
      </c>
      <c r="O8" s="3">
        <f t="shared" si="1"/>
        <v>19724.673096000002</v>
      </c>
      <c r="P8" s="3">
        <f t="shared" si="1"/>
        <v>20119.166557920002</v>
      </c>
      <c r="Q8" s="3">
        <f t="shared" si="1"/>
        <v>20521.549889078404</v>
      </c>
    </row>
    <row r="9" spans="1:17" x14ac:dyDescent="0.2">
      <c r="B9" s="3" t="s">
        <v>10</v>
      </c>
      <c r="J9" s="3">
        <v>10219</v>
      </c>
      <c r="K9" s="3">
        <v>10488</v>
      </c>
      <c r="L9" s="3">
        <v>10872</v>
      </c>
      <c r="M9" s="3">
        <f>L9*1.03</f>
        <v>11198.16</v>
      </c>
      <c r="N9" s="3">
        <f t="shared" ref="N9:Q9" si="2">M9*1.03</f>
        <v>11534.104800000001</v>
      </c>
      <c r="O9" s="3">
        <f t="shared" si="2"/>
        <v>11880.127944000002</v>
      </c>
      <c r="P9" s="3">
        <f t="shared" si="2"/>
        <v>12236.531782320002</v>
      </c>
      <c r="Q9" s="3">
        <f t="shared" si="2"/>
        <v>12603.627735789603</v>
      </c>
    </row>
    <row r="10" spans="1:17" x14ac:dyDescent="0.2">
      <c r="B10" s="3" t="s">
        <v>12</v>
      </c>
      <c r="J10" s="3">
        <v>483</v>
      </c>
      <c r="K10" s="3">
        <v>547</v>
      </c>
      <c r="L10" s="3">
        <v>668</v>
      </c>
      <c r="M10" s="3">
        <f>L10*1.03</f>
        <v>688.04</v>
      </c>
      <c r="N10" s="3">
        <f t="shared" ref="N10:Q10" si="3">M10*1.03</f>
        <v>708.68119999999999</v>
      </c>
      <c r="O10" s="3">
        <f t="shared" si="3"/>
        <v>729.94163600000002</v>
      </c>
      <c r="P10" s="3">
        <f t="shared" si="3"/>
        <v>751.83988508000004</v>
      </c>
      <c r="Q10" s="3">
        <f t="shared" si="3"/>
        <v>774.39508163240009</v>
      </c>
    </row>
    <row r="11" spans="1:17" s="5" customFormat="1" ht="15" x14ac:dyDescent="0.25">
      <c r="A11" s="3"/>
      <c r="B11" s="5" t="s">
        <v>11</v>
      </c>
      <c r="J11" s="5">
        <f>SUM(J8:J10)</f>
        <v>28496</v>
      </c>
      <c r="K11" s="5">
        <f t="shared" ref="K11:L11" si="4">SUM(K8:K10)</f>
        <v>29135</v>
      </c>
      <c r="L11" s="5">
        <f t="shared" si="4"/>
        <v>30127</v>
      </c>
      <c r="M11" s="5">
        <f t="shared" ref="M11" si="5">SUM(M8:M10)</f>
        <v>30844.940000000002</v>
      </c>
      <c r="N11" s="5">
        <f t="shared" ref="N11" si="6">SUM(N8:N10)</f>
        <v>31580.700800000002</v>
      </c>
      <c r="O11" s="5">
        <f t="shared" ref="O11" si="7">SUM(O8:O10)</f>
        <v>32334.742676000005</v>
      </c>
      <c r="P11" s="5">
        <f t="shared" ref="P11" si="8">SUM(P8:P10)</f>
        <v>33107.53822532</v>
      </c>
      <c r="Q11" s="5">
        <f t="shared" ref="Q11" si="9">SUM(Q8:Q10)</f>
        <v>33899.57270650041</v>
      </c>
    </row>
    <row r="12" spans="1:17" x14ac:dyDescent="0.2">
      <c r="B12" s="3" t="s">
        <v>13</v>
      </c>
      <c r="J12" s="3">
        <v>12463</v>
      </c>
      <c r="K12" s="3">
        <v>11958</v>
      </c>
      <c r="L12" s="3">
        <v>12961</v>
      </c>
      <c r="M12" s="3">
        <f>M8*(1-M37)</f>
        <v>13162.834800000002</v>
      </c>
      <c r="N12" s="3">
        <f t="shared" ref="N12:Q12" si="10">N8*(1-N37)</f>
        <v>13366.973262960002</v>
      </c>
      <c r="O12" s="3">
        <f t="shared" si="10"/>
        <v>13573.409124541395</v>
      </c>
      <c r="P12" s="3">
        <f t="shared" si="10"/>
        <v>13782.134414523343</v>
      </c>
      <c r="Q12" s="3">
        <f t="shared" si="10"/>
        <v>13993.139374951164</v>
      </c>
    </row>
    <row r="13" spans="1:17" x14ac:dyDescent="0.2">
      <c r="B13" s="3" t="s">
        <v>14</v>
      </c>
      <c r="J13" s="3">
        <v>6217</v>
      </c>
      <c r="K13" s="3">
        <v>6555</v>
      </c>
      <c r="L13" s="3">
        <v>6793</v>
      </c>
      <c r="M13" s="3">
        <f>M9*(1-M38)</f>
        <v>6954.7763000000004</v>
      </c>
      <c r="N13" s="3">
        <f t="shared" ref="N13:Q13" si="11">N9*(1-N38)</f>
        <v>7119.7127368900001</v>
      </c>
      <c r="O13" s="3">
        <f t="shared" si="11"/>
        <v>7287.8358807466675</v>
      </c>
      <c r="P13" s="3">
        <f t="shared" si="11"/>
        <v>7459.1703489175597</v>
      </c>
      <c r="Q13" s="3">
        <f t="shared" si="11"/>
        <v>7633.7386366210412</v>
      </c>
    </row>
    <row r="14" spans="1:17" x14ac:dyDescent="0.2">
      <c r="B14" s="3" t="s">
        <v>15</v>
      </c>
      <c r="J14" s="3">
        <v>310</v>
      </c>
      <c r="K14" s="3">
        <v>383</v>
      </c>
      <c r="L14" s="3">
        <v>495</v>
      </c>
      <c r="M14" s="3">
        <f>M10*0.74</f>
        <v>509.14959999999996</v>
      </c>
      <c r="N14" s="3">
        <f t="shared" ref="N14:Q14" si="12">N10*0.74</f>
        <v>524.42408799999998</v>
      </c>
      <c r="O14" s="3">
        <f t="shared" si="12"/>
        <v>540.15681064</v>
      </c>
      <c r="P14" s="3">
        <f t="shared" si="12"/>
        <v>556.36151495920001</v>
      </c>
      <c r="Q14" s="3">
        <f t="shared" si="12"/>
        <v>573.05236040797604</v>
      </c>
    </row>
    <row r="15" spans="1:17" x14ac:dyDescent="0.2">
      <c r="B15" s="3" t="s">
        <v>16</v>
      </c>
      <c r="J15" s="3">
        <f>J8-J12</f>
        <v>5331</v>
      </c>
      <c r="K15" s="3">
        <f t="shared" ref="K15:L15" si="13">K8-K12</f>
        <v>6142</v>
      </c>
      <c r="L15" s="3">
        <f t="shared" si="13"/>
        <v>5626</v>
      </c>
      <c r="M15" s="3">
        <f t="shared" ref="M15:Q15" si="14">M8-M12</f>
        <v>5795.9051999999992</v>
      </c>
      <c r="N15" s="3">
        <f t="shared" si="14"/>
        <v>5970.9415370400002</v>
      </c>
      <c r="O15" s="3">
        <f t="shared" si="14"/>
        <v>6151.2639714586076</v>
      </c>
      <c r="P15" s="3">
        <f t="shared" si="14"/>
        <v>6337.0321433966583</v>
      </c>
      <c r="Q15" s="3">
        <f t="shared" si="14"/>
        <v>6528.4105141272394</v>
      </c>
    </row>
    <row r="16" spans="1:17" x14ac:dyDescent="0.2">
      <c r="B16" s="3" t="s">
        <v>17</v>
      </c>
      <c r="J16" s="3">
        <f t="shared" ref="J16:L17" si="15">J9-J13</f>
        <v>4002</v>
      </c>
      <c r="K16" s="3">
        <f t="shared" si="15"/>
        <v>3933</v>
      </c>
      <c r="L16" s="3">
        <f t="shared" si="15"/>
        <v>4079</v>
      </c>
      <c r="M16" s="3">
        <f t="shared" ref="M16:Q16" si="16">M9-M13</f>
        <v>4243.3836999999994</v>
      </c>
      <c r="N16" s="3">
        <f t="shared" si="16"/>
        <v>4414.3920631100009</v>
      </c>
      <c r="O16" s="3">
        <f t="shared" si="16"/>
        <v>4592.2920632533342</v>
      </c>
      <c r="P16" s="3">
        <f t="shared" si="16"/>
        <v>4777.3614334024423</v>
      </c>
      <c r="Q16" s="3">
        <f t="shared" si="16"/>
        <v>4969.8890991685621</v>
      </c>
    </row>
    <row r="17" spans="1:115" x14ac:dyDescent="0.2">
      <c r="B17" s="3" t="s">
        <v>18</v>
      </c>
      <c r="J17" s="3">
        <f t="shared" si="15"/>
        <v>173</v>
      </c>
      <c r="K17" s="3">
        <f t="shared" si="15"/>
        <v>164</v>
      </c>
      <c r="L17" s="3">
        <f t="shared" si="15"/>
        <v>173</v>
      </c>
      <c r="M17" s="3">
        <f t="shared" ref="M17:Q17" si="17">M10-M14</f>
        <v>178.8904</v>
      </c>
      <c r="N17" s="3">
        <f t="shared" si="17"/>
        <v>184.25711200000001</v>
      </c>
      <c r="O17" s="3">
        <f t="shared" si="17"/>
        <v>189.78482536000001</v>
      </c>
      <c r="P17" s="3">
        <f t="shared" si="17"/>
        <v>195.47837012080004</v>
      </c>
      <c r="Q17" s="3">
        <f t="shared" si="17"/>
        <v>201.34272122442405</v>
      </c>
    </row>
    <row r="18" spans="1:115" x14ac:dyDescent="0.2">
      <c r="B18" s="3" t="s">
        <v>19</v>
      </c>
      <c r="J18" s="3">
        <v>2045</v>
      </c>
      <c r="K18" s="3">
        <v>2349</v>
      </c>
      <c r="L18" s="3">
        <v>2246</v>
      </c>
    </row>
    <row r="19" spans="1:115" x14ac:dyDescent="0.2">
      <c r="B19" s="3" t="s">
        <v>20</v>
      </c>
      <c r="J19" s="3">
        <v>4941</v>
      </c>
      <c r="K19" s="3">
        <v>5160</v>
      </c>
      <c r="L19" s="3">
        <v>4871</v>
      </c>
    </row>
    <row r="20" spans="1:115" x14ac:dyDescent="0.2">
      <c r="B20" s="3" t="s">
        <v>21</v>
      </c>
      <c r="J20" s="3">
        <v>293</v>
      </c>
      <c r="K20" s="3">
        <v>288</v>
      </c>
      <c r="L20" s="3">
        <v>267</v>
      </c>
    </row>
    <row r="21" spans="1:115" x14ac:dyDescent="0.2">
      <c r="B21" s="3" t="s">
        <v>22</v>
      </c>
      <c r="J21" s="3">
        <f>SUM(J18:J20)</f>
        <v>7279</v>
      </c>
      <c r="K21" s="3">
        <f t="shared" ref="K21:L21" si="18">SUM(K18:K20)</f>
        <v>7797</v>
      </c>
      <c r="L21" s="3">
        <f t="shared" si="18"/>
        <v>7384</v>
      </c>
      <c r="M21" s="3">
        <f>M11*M40</f>
        <v>7711.2350000000006</v>
      </c>
      <c r="N21" s="3">
        <f t="shared" ref="N21:Q21" si="19">N11*N40</f>
        <v>7895.1752000000006</v>
      </c>
      <c r="O21" s="3">
        <f t="shared" si="19"/>
        <v>8083.6856690000013</v>
      </c>
      <c r="P21" s="3">
        <f t="shared" si="19"/>
        <v>8276.8845563300001</v>
      </c>
      <c r="Q21" s="3">
        <f t="shared" si="19"/>
        <v>8474.8931766251026</v>
      </c>
    </row>
    <row r="22" spans="1:115" x14ac:dyDescent="0.2">
      <c r="B22" s="3" t="s">
        <v>23</v>
      </c>
      <c r="J22" s="3">
        <f>SUM(J15:J17)-J21</f>
        <v>2227</v>
      </c>
      <c r="K22" s="3">
        <f t="shared" ref="K22:Q22" si="20">SUM(K15:K17)-K21</f>
        <v>2442</v>
      </c>
      <c r="L22" s="3">
        <f t="shared" si="20"/>
        <v>2494</v>
      </c>
      <c r="M22" s="3">
        <f t="shared" si="20"/>
        <v>2506.9442999999992</v>
      </c>
      <c r="N22" s="3">
        <f t="shared" si="20"/>
        <v>2674.4155121499998</v>
      </c>
      <c r="O22" s="3">
        <f t="shared" si="20"/>
        <v>2849.6551910719418</v>
      </c>
      <c r="P22" s="3">
        <f t="shared" si="20"/>
        <v>3032.9873905899003</v>
      </c>
      <c r="Q22" s="3">
        <f t="shared" si="20"/>
        <v>3224.7491578951231</v>
      </c>
    </row>
    <row r="23" spans="1:115" x14ac:dyDescent="0.2">
      <c r="B23" s="3" t="s">
        <v>24</v>
      </c>
      <c r="J23" s="3">
        <v>-121</v>
      </c>
      <c r="K23" s="3">
        <v>-104</v>
      </c>
      <c r="L23" s="3">
        <v>-117</v>
      </c>
      <c r="M23" s="3">
        <f>L42*$T$33</f>
        <v>-402.59999999999997</v>
      </c>
      <c r="N23" s="3">
        <f t="shared" ref="N23:Q23" si="21">M42*$T$33</f>
        <v>-300.32886702000002</v>
      </c>
      <c r="O23" s="3">
        <f t="shared" si="21"/>
        <v>-184.94825606668201</v>
      </c>
      <c r="P23" s="3">
        <f t="shared" si="21"/>
        <v>-55.443499025426377</v>
      </c>
      <c r="Q23" s="3">
        <f t="shared" si="21"/>
        <v>89.265134104607071</v>
      </c>
    </row>
    <row r="24" spans="1:115" x14ac:dyDescent="0.2">
      <c r="B24" s="3" t="s">
        <v>25</v>
      </c>
      <c r="J24" s="3">
        <f>J22+J23</f>
        <v>2106</v>
      </c>
      <c r="K24" s="3">
        <f t="shared" ref="K24:Q24" si="22">K22+K23</f>
        <v>2338</v>
      </c>
      <c r="L24" s="3">
        <f t="shared" si="22"/>
        <v>2377</v>
      </c>
      <c r="M24" s="3">
        <f t="shared" si="22"/>
        <v>2104.3442999999993</v>
      </c>
      <c r="N24" s="3">
        <f t="shared" si="22"/>
        <v>2374.0866451299999</v>
      </c>
      <c r="O24" s="3">
        <f t="shared" si="22"/>
        <v>2664.7069350052598</v>
      </c>
      <c r="P24" s="3">
        <f t="shared" si="22"/>
        <v>2977.5438915644741</v>
      </c>
      <c r="Q24" s="3">
        <f t="shared" si="22"/>
        <v>3314.0142919997302</v>
      </c>
    </row>
    <row r="25" spans="1:115" x14ac:dyDescent="0.2">
      <c r="B25" s="3" t="s">
        <v>26</v>
      </c>
      <c r="J25" s="3">
        <v>8</v>
      </c>
      <c r="K25" s="3">
        <v>205</v>
      </c>
      <c r="L25" s="3">
        <v>374</v>
      </c>
      <c r="M25" s="3">
        <f>M24*M34</f>
        <v>399.82541699999985</v>
      </c>
      <c r="N25" s="3">
        <f t="shared" ref="N25:Q25" si="23">N24*N34</f>
        <v>451.07646257469997</v>
      </c>
      <c r="O25" s="3">
        <f t="shared" si="23"/>
        <v>506.29431765099935</v>
      </c>
      <c r="P25" s="3">
        <f t="shared" si="23"/>
        <v>565.73333939725012</v>
      </c>
      <c r="Q25" s="3">
        <f t="shared" si="23"/>
        <v>629.6627154799487</v>
      </c>
    </row>
    <row r="26" spans="1:115" s="5" customFormat="1" ht="15" x14ac:dyDescent="0.25">
      <c r="A26" s="3"/>
      <c r="B26" s="5" t="s">
        <v>27</v>
      </c>
      <c r="J26" s="5">
        <f>J24-J25</f>
        <v>2098</v>
      </c>
      <c r="K26" s="5">
        <f t="shared" ref="K26:Q26" si="24">K24-K25</f>
        <v>2133</v>
      </c>
      <c r="L26" s="5">
        <f t="shared" si="24"/>
        <v>2003</v>
      </c>
      <c r="M26" s="5">
        <f t="shared" si="24"/>
        <v>1704.5188829999995</v>
      </c>
      <c r="N26" s="5">
        <f t="shared" si="24"/>
        <v>1923.0101825552999</v>
      </c>
      <c r="O26" s="5">
        <f t="shared" si="24"/>
        <v>2158.4126173542604</v>
      </c>
      <c r="P26" s="5">
        <f t="shared" si="24"/>
        <v>2411.8105521672242</v>
      </c>
      <c r="Q26" s="5">
        <f t="shared" si="24"/>
        <v>2684.3515765197817</v>
      </c>
      <c r="R26" s="5">
        <f>Q26*(1+$T$34)</f>
        <v>2711.1950922849796</v>
      </c>
      <c r="S26" s="5">
        <f t="shared" ref="S26:CD26" si="25">R26*(1+$T$34)</f>
        <v>2738.3070432078293</v>
      </c>
      <c r="T26" s="5">
        <f t="shared" si="25"/>
        <v>2765.6901136399078</v>
      </c>
      <c r="U26" s="5">
        <f t="shared" si="25"/>
        <v>2793.3470147763069</v>
      </c>
      <c r="V26" s="5">
        <f t="shared" si="25"/>
        <v>2821.2804849240702</v>
      </c>
      <c r="W26" s="5">
        <f t="shared" si="25"/>
        <v>2849.4932897733111</v>
      </c>
      <c r="X26" s="5">
        <f t="shared" si="25"/>
        <v>2877.9882226710442</v>
      </c>
      <c r="Y26" s="5">
        <f t="shared" si="25"/>
        <v>2906.7681048977547</v>
      </c>
      <c r="Z26" s="5">
        <f t="shared" si="25"/>
        <v>2935.8357859467324</v>
      </c>
      <c r="AA26" s="5">
        <f t="shared" si="25"/>
        <v>2965.1941438061999</v>
      </c>
      <c r="AB26" s="5">
        <f t="shared" si="25"/>
        <v>2994.8460852442618</v>
      </c>
      <c r="AC26" s="5">
        <f t="shared" si="25"/>
        <v>3024.7945460967044</v>
      </c>
      <c r="AD26" s="5">
        <f t="shared" si="25"/>
        <v>3055.0424915576714</v>
      </c>
      <c r="AE26" s="5">
        <f t="shared" si="25"/>
        <v>3085.5929164732479</v>
      </c>
      <c r="AF26" s="5">
        <f t="shared" si="25"/>
        <v>3116.4488456379804</v>
      </c>
      <c r="AG26" s="5">
        <f t="shared" si="25"/>
        <v>3147.6133340943602</v>
      </c>
      <c r="AH26" s="5">
        <f t="shared" si="25"/>
        <v>3179.089467435304</v>
      </c>
      <c r="AI26" s="5">
        <f t="shared" si="25"/>
        <v>3210.8803621096572</v>
      </c>
      <c r="AJ26" s="5">
        <f t="shared" si="25"/>
        <v>3242.9891657307539</v>
      </c>
      <c r="AK26" s="5">
        <f t="shared" si="25"/>
        <v>3275.4190573880614</v>
      </c>
      <c r="AL26" s="5">
        <f t="shared" si="25"/>
        <v>3308.1732479619423</v>
      </c>
      <c r="AM26" s="5">
        <f t="shared" si="25"/>
        <v>3341.2549804415617</v>
      </c>
      <c r="AN26" s="5">
        <f t="shared" si="25"/>
        <v>3374.6675302459771</v>
      </c>
      <c r="AO26" s="5">
        <f t="shared" si="25"/>
        <v>3408.4142055484367</v>
      </c>
      <c r="AP26" s="5">
        <f t="shared" si="25"/>
        <v>3442.498347603921</v>
      </c>
      <c r="AQ26" s="5">
        <f t="shared" si="25"/>
        <v>3476.9233310799605</v>
      </c>
      <c r="AR26" s="5">
        <f t="shared" si="25"/>
        <v>3511.6925643907603</v>
      </c>
      <c r="AS26" s="5">
        <f t="shared" si="25"/>
        <v>3546.8094900346678</v>
      </c>
      <c r="AT26" s="5">
        <f t="shared" si="25"/>
        <v>3582.2775849350146</v>
      </c>
      <c r="AU26" s="5">
        <f t="shared" si="25"/>
        <v>3618.100360784365</v>
      </c>
      <c r="AV26" s="5">
        <f t="shared" si="25"/>
        <v>3654.2813643922086</v>
      </c>
      <c r="AW26" s="5">
        <f t="shared" si="25"/>
        <v>3690.8241780361309</v>
      </c>
      <c r="AX26" s="5">
        <f t="shared" si="25"/>
        <v>3727.7324198164924</v>
      </c>
      <c r="AY26" s="5">
        <f t="shared" si="25"/>
        <v>3765.0097440146574</v>
      </c>
      <c r="AZ26" s="5">
        <f t="shared" si="25"/>
        <v>3802.6598414548039</v>
      </c>
      <c r="BA26" s="5">
        <f t="shared" si="25"/>
        <v>3840.6864398693519</v>
      </c>
      <c r="BB26" s="5">
        <f t="shared" si="25"/>
        <v>3879.0933042680454</v>
      </c>
      <c r="BC26" s="5">
        <f t="shared" si="25"/>
        <v>3917.8842373107259</v>
      </c>
      <c r="BD26" s="5">
        <f t="shared" si="25"/>
        <v>3957.0630796838332</v>
      </c>
      <c r="BE26" s="5">
        <f t="shared" si="25"/>
        <v>3996.6337104806717</v>
      </c>
      <c r="BF26" s="5">
        <f t="shared" si="25"/>
        <v>4036.6000475854785</v>
      </c>
      <c r="BG26" s="5">
        <f t="shared" si="25"/>
        <v>4076.9660480613334</v>
      </c>
      <c r="BH26" s="5">
        <f t="shared" si="25"/>
        <v>4117.7357085419471</v>
      </c>
      <c r="BI26" s="5">
        <f t="shared" si="25"/>
        <v>4158.9130656273664</v>
      </c>
      <c r="BJ26" s="5">
        <f t="shared" si="25"/>
        <v>4200.5021962836399</v>
      </c>
      <c r="BK26" s="5">
        <f t="shared" si="25"/>
        <v>4242.5072182464764</v>
      </c>
      <c r="BL26" s="5">
        <f t="shared" si="25"/>
        <v>4284.9322904289411</v>
      </c>
      <c r="BM26" s="5">
        <f t="shared" si="25"/>
        <v>4327.7816133332308</v>
      </c>
      <c r="BN26" s="5">
        <f t="shared" si="25"/>
        <v>4371.0594294665634</v>
      </c>
      <c r="BO26" s="5">
        <f t="shared" si="25"/>
        <v>4414.7700237612289</v>
      </c>
      <c r="BP26" s="5">
        <f t="shared" si="25"/>
        <v>4458.9177239988412</v>
      </c>
      <c r="BQ26" s="5">
        <f t="shared" si="25"/>
        <v>4503.5069012388294</v>
      </c>
      <c r="BR26" s="5">
        <f t="shared" si="25"/>
        <v>4548.5419702512181</v>
      </c>
      <c r="BS26" s="5">
        <f t="shared" si="25"/>
        <v>4594.0273899537306</v>
      </c>
      <c r="BT26" s="5">
        <f t="shared" si="25"/>
        <v>4639.9676638532683</v>
      </c>
      <c r="BU26" s="5">
        <f t="shared" si="25"/>
        <v>4686.3673404918009</v>
      </c>
      <c r="BV26" s="5">
        <f t="shared" si="25"/>
        <v>4733.2310138967187</v>
      </c>
      <c r="BW26" s="5">
        <f t="shared" si="25"/>
        <v>4780.5633240356856</v>
      </c>
      <c r="BX26" s="5">
        <f t="shared" si="25"/>
        <v>4828.3689572760422</v>
      </c>
      <c r="BY26" s="5">
        <f t="shared" si="25"/>
        <v>4876.6526468488028</v>
      </c>
      <c r="BZ26" s="5">
        <f t="shared" si="25"/>
        <v>4925.4191733172911</v>
      </c>
      <c r="CA26" s="5">
        <f t="shared" si="25"/>
        <v>4974.6733650504639</v>
      </c>
      <c r="CB26" s="5">
        <f t="shared" si="25"/>
        <v>5024.420098700969</v>
      </c>
      <c r="CC26" s="5">
        <f t="shared" si="25"/>
        <v>5074.6642996879791</v>
      </c>
      <c r="CD26" s="5">
        <f t="shared" si="25"/>
        <v>5125.410942684859</v>
      </c>
      <c r="CE26" s="5">
        <f t="shared" ref="CE26:DK26" si="26">CD26*(1+$T$34)</f>
        <v>5176.6650521117081</v>
      </c>
      <c r="CF26" s="5">
        <f t="shared" si="26"/>
        <v>5228.4317026328254</v>
      </c>
      <c r="CG26" s="5">
        <f t="shared" si="26"/>
        <v>5280.716019659154</v>
      </c>
      <c r="CH26" s="5">
        <f t="shared" si="26"/>
        <v>5333.5231798557452</v>
      </c>
      <c r="CI26" s="5">
        <f t="shared" si="26"/>
        <v>5386.8584116543025</v>
      </c>
      <c r="CJ26" s="5">
        <f t="shared" si="26"/>
        <v>5440.7269957708459</v>
      </c>
      <c r="CK26" s="5">
        <f t="shared" si="26"/>
        <v>5495.1342657285541</v>
      </c>
      <c r="CL26" s="5">
        <f t="shared" si="26"/>
        <v>5550.0856083858398</v>
      </c>
      <c r="CM26" s="5">
        <f t="shared" si="26"/>
        <v>5605.5864644696985</v>
      </c>
      <c r="CN26" s="5">
        <f t="shared" si="26"/>
        <v>5661.6423291143956</v>
      </c>
      <c r="CO26" s="5">
        <f t="shared" si="26"/>
        <v>5718.2587524055398</v>
      </c>
      <c r="CP26" s="5">
        <f t="shared" si="26"/>
        <v>5775.4413399295954</v>
      </c>
      <c r="CQ26" s="5">
        <f t="shared" si="26"/>
        <v>5833.1957533288914</v>
      </c>
      <c r="CR26" s="5">
        <f t="shared" si="26"/>
        <v>5891.5277108621804</v>
      </c>
      <c r="CS26" s="5">
        <f t="shared" si="26"/>
        <v>5950.4429879708023</v>
      </c>
      <c r="CT26" s="5">
        <f t="shared" si="26"/>
        <v>6009.9474178505106</v>
      </c>
      <c r="CU26" s="5">
        <f t="shared" si="26"/>
        <v>6070.0468920290159</v>
      </c>
      <c r="CV26" s="5">
        <f t="shared" si="26"/>
        <v>6130.7473609493063</v>
      </c>
      <c r="CW26" s="5">
        <f t="shared" si="26"/>
        <v>6192.0548345587995</v>
      </c>
      <c r="CX26" s="5">
        <f t="shared" si="26"/>
        <v>6253.9753829043875</v>
      </c>
      <c r="CY26" s="5">
        <f t="shared" si="26"/>
        <v>6316.5151367334311</v>
      </c>
      <c r="CZ26" s="5">
        <f t="shared" si="26"/>
        <v>6379.6802881007652</v>
      </c>
      <c r="DA26" s="5">
        <f t="shared" si="26"/>
        <v>6443.4770909817726</v>
      </c>
      <c r="DB26" s="5">
        <f t="shared" si="26"/>
        <v>6507.91186189159</v>
      </c>
      <c r="DC26" s="5">
        <f t="shared" si="26"/>
        <v>6572.9909805105062</v>
      </c>
      <c r="DD26" s="5">
        <f t="shared" si="26"/>
        <v>6638.7208903156115</v>
      </c>
      <c r="DE26" s="5">
        <f t="shared" si="26"/>
        <v>6705.1080992187681</v>
      </c>
      <c r="DF26" s="5">
        <f t="shared" si="26"/>
        <v>6772.159180210956</v>
      </c>
      <c r="DG26" s="5">
        <f t="shared" si="26"/>
        <v>6839.8807720130653</v>
      </c>
      <c r="DH26" s="5">
        <f t="shared" si="26"/>
        <v>6908.2795797331964</v>
      </c>
      <c r="DI26" s="5">
        <f t="shared" si="26"/>
        <v>6977.3623755305289</v>
      </c>
      <c r="DJ26" s="5">
        <f t="shared" si="26"/>
        <v>7047.1359992858343</v>
      </c>
      <c r="DK26" s="5">
        <f t="shared" si="26"/>
        <v>7117.6073592786925</v>
      </c>
    </row>
    <row r="27" spans="1:115" x14ac:dyDescent="0.2">
      <c r="B27" s="3" t="s">
        <v>28</v>
      </c>
      <c r="J27" s="2">
        <f>J26/J28</f>
        <v>1.5869894099848714</v>
      </c>
      <c r="K27" s="2">
        <f t="shared" ref="K27:L27" si="27">K26/K28</f>
        <v>1.6208206686930091</v>
      </c>
      <c r="L27" s="2">
        <f t="shared" si="27"/>
        <v>1.4981301421091997</v>
      </c>
      <c r="M27" s="2">
        <f t="shared" ref="M27" si="28">M26/M28</f>
        <v>1.2971985410958899</v>
      </c>
      <c r="N27" s="2">
        <f t="shared" ref="N27" si="29">N26/N28</f>
        <v>1.4634780689157534</v>
      </c>
      <c r="O27" s="2">
        <f t="shared" ref="O27" si="30">O26/O28</f>
        <v>1.6426275626744753</v>
      </c>
      <c r="P27" s="2">
        <f t="shared" ref="P27" si="31">P26/P28</f>
        <v>1.8354722619233061</v>
      </c>
      <c r="Q27" s="2">
        <f t="shared" ref="Q27" si="32">Q26/Q28</f>
        <v>2.0428855224655873</v>
      </c>
    </row>
    <row r="28" spans="1:115" x14ac:dyDescent="0.2">
      <c r="B28" s="3" t="s">
        <v>2</v>
      </c>
      <c r="J28" s="3">
        <v>1322</v>
      </c>
      <c r="K28" s="3">
        <v>1316</v>
      </c>
      <c r="L28" s="3">
        <v>1337</v>
      </c>
      <c r="M28" s="3">
        <v>1314</v>
      </c>
      <c r="N28" s="3">
        <v>1314</v>
      </c>
      <c r="O28" s="3">
        <v>1314</v>
      </c>
      <c r="P28" s="3">
        <v>1314</v>
      </c>
      <c r="Q28" s="3">
        <v>1314</v>
      </c>
    </row>
    <row r="30" spans="1:115" s="5" customFormat="1" ht="15" x14ac:dyDescent="0.25">
      <c r="A30" s="3"/>
      <c r="B30" s="5" t="s">
        <v>29</v>
      </c>
      <c r="K30" s="7">
        <f>K11/J11-1</f>
        <v>2.24241998877035E-2</v>
      </c>
      <c r="L30" s="7">
        <f t="shared" ref="L30:Q30" si="33">L11/K11-1</f>
        <v>3.4048395400720688E-2</v>
      </c>
      <c r="M30" s="7">
        <f t="shared" si="33"/>
        <v>2.3830451090384175E-2</v>
      </c>
      <c r="N30" s="7">
        <f t="shared" si="33"/>
        <v>2.3853533188912035E-2</v>
      </c>
      <c r="O30" s="7">
        <f t="shared" si="33"/>
        <v>2.3876666980107153E-2</v>
      </c>
      <c r="P30" s="7">
        <f t="shared" si="33"/>
        <v>2.3899851533180527E-2</v>
      </c>
      <c r="Q30" s="7">
        <f t="shared" si="33"/>
        <v>2.3923085908413411E-2</v>
      </c>
    </row>
    <row r="31" spans="1:115" x14ac:dyDescent="0.2">
      <c r="B31" s="3" t="s">
        <v>31</v>
      </c>
      <c r="K31" s="8">
        <f>K8/J8-1</f>
        <v>1.7196807912779555E-2</v>
      </c>
      <c r="L31" s="8">
        <f>L8/K8-1</f>
        <v>2.6906077348066271E-2</v>
      </c>
    </row>
    <row r="32" spans="1:115" x14ac:dyDescent="0.2">
      <c r="B32" s="3" t="s">
        <v>32</v>
      </c>
      <c r="K32" s="8">
        <f>K9/J9-1</f>
        <v>2.6323515021039245E-2</v>
      </c>
      <c r="L32" s="8">
        <f>L9/K9-1</f>
        <v>3.6613272311212919E-2</v>
      </c>
    </row>
    <row r="33" spans="1:20" s="5" customFormat="1" ht="15" x14ac:dyDescent="0.25">
      <c r="A33" s="3"/>
      <c r="B33" s="5" t="s">
        <v>33</v>
      </c>
      <c r="K33" s="7">
        <f>K2/J2-1</f>
        <v>-8.0002642531545209E-2</v>
      </c>
      <c r="L33" s="7">
        <f>L2/K2-1</f>
        <v>0.1439752980037341</v>
      </c>
      <c r="S33" s="9" t="s">
        <v>50</v>
      </c>
      <c r="T33" s="10">
        <v>0.06</v>
      </c>
    </row>
    <row r="34" spans="1:20" x14ac:dyDescent="0.2">
      <c r="B34" s="3" t="s">
        <v>30</v>
      </c>
      <c r="J34" s="8">
        <f>J25/J24</f>
        <v>3.7986704653371322E-3</v>
      </c>
      <c r="K34" s="8">
        <f t="shared" ref="K34:L34" si="34">K25/K24</f>
        <v>8.7681779298545759E-2</v>
      </c>
      <c r="L34" s="8">
        <f t="shared" si="34"/>
        <v>0.15734118636937316</v>
      </c>
      <c r="M34" s="8">
        <v>0.19</v>
      </c>
      <c r="N34" s="8">
        <v>0.19</v>
      </c>
      <c r="O34" s="8">
        <v>0.19</v>
      </c>
      <c r="P34" s="8">
        <v>0.19</v>
      </c>
      <c r="Q34" s="8">
        <v>0.19</v>
      </c>
      <c r="S34" s="3" t="s">
        <v>51</v>
      </c>
      <c r="T34" s="10">
        <v>0.01</v>
      </c>
    </row>
    <row r="35" spans="1:20" x14ac:dyDescent="0.2">
      <c r="S35" s="3" t="s">
        <v>52</v>
      </c>
      <c r="T35" s="10">
        <v>0.08</v>
      </c>
    </row>
    <row r="36" spans="1:20" s="5" customFormat="1" ht="15" x14ac:dyDescent="0.25">
      <c r="A36" s="3"/>
      <c r="B36" s="5" t="s">
        <v>34</v>
      </c>
      <c r="J36" s="7">
        <f>SUM(J15:J17)/J11</f>
        <v>0.3335906793935991</v>
      </c>
      <c r="K36" s="7">
        <f t="shared" ref="K36:Q36" si="35">SUM(K15:K17)/K11</f>
        <v>0.35143298438304443</v>
      </c>
      <c r="L36" s="7">
        <f t="shared" si="35"/>
        <v>0.32787864706077607</v>
      </c>
      <c r="M36" s="7">
        <f t="shared" si="35"/>
        <v>0.3312757068096096</v>
      </c>
      <c r="N36" s="7">
        <f t="shared" si="35"/>
        <v>0.33468512238176801</v>
      </c>
      <c r="O36" s="7">
        <f t="shared" si="35"/>
        <v>0.33812982430774241</v>
      </c>
      <c r="P36" s="7">
        <f t="shared" si="35"/>
        <v>0.34161017560255602</v>
      </c>
      <c r="Q36" s="7">
        <f t="shared" si="35"/>
        <v>0.3451265429158864</v>
      </c>
      <c r="S36" s="5" t="s">
        <v>53</v>
      </c>
      <c r="T36" s="9">
        <f>NPV(T35,M26:XFD26)+main!D5-main!D6</f>
        <v>28152.875693672271</v>
      </c>
    </row>
    <row r="37" spans="1:20" x14ac:dyDescent="0.2">
      <c r="B37" s="3" t="s">
        <v>35</v>
      </c>
      <c r="J37" s="8">
        <f>J15/J8</f>
        <v>0.29959536922558166</v>
      </c>
      <c r="K37" s="8">
        <f t="shared" ref="K37:L37" si="36">K15/K8</f>
        <v>0.33933701657458565</v>
      </c>
      <c r="L37" s="8">
        <f t="shared" si="36"/>
        <v>0.30268467208263838</v>
      </c>
      <c r="M37" s="8">
        <f>L37*1.01</f>
        <v>0.30571151880346475</v>
      </c>
      <c r="N37" s="8">
        <f t="shared" ref="N37:Q37" si="37">M37*1.01</f>
        <v>0.3087686339914994</v>
      </c>
      <c r="O37" s="8">
        <f t="shared" si="37"/>
        <v>0.31185632033141442</v>
      </c>
      <c r="P37" s="8">
        <f t="shared" si="37"/>
        <v>0.31497488353472858</v>
      </c>
      <c r="Q37" s="8">
        <f t="shared" si="37"/>
        <v>0.31812463237007588</v>
      </c>
      <c r="S37" s="3" t="s">
        <v>1</v>
      </c>
      <c r="T37" s="2">
        <f>T36/main!D3</f>
        <v>21.432207066251316</v>
      </c>
    </row>
    <row r="38" spans="1:20" x14ac:dyDescent="0.2">
      <c r="B38" s="3" t="s">
        <v>36</v>
      </c>
      <c r="J38" s="8">
        <f>J16/J9</f>
        <v>0.39162344652118602</v>
      </c>
      <c r="K38" s="8">
        <f t="shared" ref="K38:L38" si="38">K16/K9</f>
        <v>0.375</v>
      </c>
      <c r="L38" s="8">
        <f t="shared" si="38"/>
        <v>0.3751839587932303</v>
      </c>
      <c r="M38" s="8">
        <f>L38*1.01</f>
        <v>0.37893579838116259</v>
      </c>
      <c r="N38" s="8">
        <f t="shared" ref="N38:Q38" si="39">M38*1.01</f>
        <v>0.38272515636497423</v>
      </c>
      <c r="O38" s="8">
        <f t="shared" si="39"/>
        <v>0.386552407928624</v>
      </c>
      <c r="P38" s="8">
        <f t="shared" si="39"/>
        <v>0.39041793200791025</v>
      </c>
      <c r="Q38" s="8">
        <f t="shared" si="39"/>
        <v>0.39432211132798933</v>
      </c>
      <c r="S38" s="3" t="s">
        <v>54</v>
      </c>
      <c r="T38" s="8">
        <f>T37/main!D2-1</f>
        <v>0.20068386925777659</v>
      </c>
    </row>
    <row r="39" spans="1:20" s="5" customFormat="1" ht="15" x14ac:dyDescent="0.25">
      <c r="A39" s="3"/>
      <c r="B39" s="5" t="s">
        <v>37</v>
      </c>
    </row>
    <row r="40" spans="1:20" x14ac:dyDescent="0.2">
      <c r="B40" s="3" t="s">
        <v>38</v>
      </c>
      <c r="J40" s="8">
        <f>J21/J11</f>
        <v>0.25543935991016281</v>
      </c>
      <c r="K40" s="8">
        <f t="shared" ref="K40:L40" si="40">K21/K11</f>
        <v>0.26761626909215719</v>
      </c>
      <c r="L40" s="8">
        <f t="shared" si="40"/>
        <v>0.2450957612772596</v>
      </c>
      <c r="M40" s="8">
        <v>0.25</v>
      </c>
      <c r="N40" s="8">
        <v>0.25</v>
      </c>
      <c r="O40" s="8">
        <v>0.25</v>
      </c>
      <c r="P40" s="8">
        <v>0.25</v>
      </c>
      <c r="Q40" s="8">
        <v>0.25</v>
      </c>
    </row>
    <row r="42" spans="1:20" x14ac:dyDescent="0.2">
      <c r="B42" s="3" t="s">
        <v>39</v>
      </c>
      <c r="L42" s="3">
        <f>L43-L44</f>
        <v>-6710</v>
      </c>
      <c r="M42" s="3">
        <f>L42+M26</f>
        <v>-5005.4811170000003</v>
      </c>
      <c r="N42" s="3">
        <f t="shared" ref="N42:Q42" si="41">M42+N26</f>
        <v>-3082.4709344447001</v>
      </c>
      <c r="O42" s="3">
        <f t="shared" si="41"/>
        <v>-924.05831709043969</v>
      </c>
      <c r="P42" s="3">
        <f t="shared" si="41"/>
        <v>1487.7522350767845</v>
      </c>
      <c r="Q42" s="3">
        <f t="shared" si="41"/>
        <v>4172.1038115965657</v>
      </c>
    </row>
    <row r="43" spans="1:20" x14ac:dyDescent="0.2">
      <c r="B43" s="3" t="s">
        <v>4</v>
      </c>
      <c r="L43" s="3">
        <v>13431</v>
      </c>
    </row>
    <row r="44" spans="1:20" x14ac:dyDescent="0.2">
      <c r="B44" s="3" t="s">
        <v>5</v>
      </c>
      <c r="L44" s="3">
        <f>13272+6869</f>
        <v>20141</v>
      </c>
    </row>
    <row r="46" spans="1:20" x14ac:dyDescent="0.2">
      <c r="B46" s="3" t="s">
        <v>4</v>
      </c>
    </row>
    <row r="47" spans="1:20" x14ac:dyDescent="0.2">
      <c r="B47" s="3" t="s">
        <v>40</v>
      </c>
    </row>
    <row r="49" spans="2:2" x14ac:dyDescent="0.2">
      <c r="B49" s="3" t="s">
        <v>41</v>
      </c>
    </row>
    <row r="50" spans="2:2" x14ac:dyDescent="0.2">
      <c r="B50" s="3" t="s">
        <v>5</v>
      </c>
    </row>
    <row r="52" spans="2:2" x14ac:dyDescent="0.2">
      <c r="B52" s="3" t="s">
        <v>42</v>
      </c>
    </row>
    <row r="53" spans="2:2" x14ac:dyDescent="0.2">
      <c r="B53" s="3" t="s">
        <v>43</v>
      </c>
    </row>
    <row r="54" spans="2:2" x14ac:dyDescent="0.2">
      <c r="B54" s="3" t="s">
        <v>44</v>
      </c>
    </row>
  </sheetData>
  <hyperlinks>
    <hyperlink ref="A1" location="main!A1" display="Main" xr:uid="{A5C65565-9423-4ABE-AC8D-1B9A57D8D66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2025-05-15T01:12:24Z</dcterms:created>
  <dcterms:modified xsi:type="dcterms:W3CDTF">2025-05-15T01:39:05Z</dcterms:modified>
</cp:coreProperties>
</file>