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C51F7AD6-87B9-457F-B956-EAE93DDA0A67}" xr6:coauthVersionLast="47" xr6:coauthVersionMax="47" xr10:uidLastSave="{00000000-0000-0000-0000-000000000000}"/>
  <bookViews>
    <workbookView xWindow="2625" yWindow="615" windowWidth="23670" windowHeight="14280" activeTab="1" xr2:uid="{A01DB42C-5223-4941-B241-BC5C0C7D8EF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2" l="1"/>
  <c r="T2" i="2" s="1"/>
  <c r="U2" i="2" s="1"/>
  <c r="V2" i="2" s="1"/>
  <c r="H2" i="2"/>
  <c r="I2" i="2" s="1"/>
  <c r="G18" i="2"/>
  <c r="R10" i="2"/>
  <c r="S10" i="2" s="1"/>
  <c r="T10" i="2" s="1"/>
  <c r="U10" i="2" s="1"/>
  <c r="V10" i="2" s="1"/>
  <c r="P9" i="2"/>
  <c r="O9" i="2"/>
  <c r="Q9" i="2"/>
  <c r="N17" i="2"/>
  <c r="M17" i="2"/>
  <c r="O17" i="2"/>
  <c r="Q17" i="2"/>
  <c r="P17" i="2"/>
  <c r="N4" i="2"/>
  <c r="O4" i="2"/>
  <c r="O21" i="2" s="1"/>
  <c r="P4" i="2"/>
  <c r="Q4" i="2"/>
  <c r="Q21" i="2" s="1"/>
  <c r="R21" i="2" s="1"/>
  <c r="S21" i="2" s="1"/>
  <c r="T21" i="2" s="1"/>
  <c r="U21" i="2" s="1"/>
  <c r="V21" i="2" s="1"/>
  <c r="N7" i="2"/>
  <c r="O7" i="2"/>
  <c r="O23" i="2" s="1"/>
  <c r="P7" i="2"/>
  <c r="P23" i="2" s="1"/>
  <c r="Q7" i="2"/>
  <c r="Q23" i="2" s="1"/>
  <c r="N9" i="2"/>
  <c r="M9" i="2"/>
  <c r="M7" i="2"/>
  <c r="M4" i="2"/>
  <c r="M21" i="2" s="1"/>
  <c r="Q34" i="2"/>
  <c r="Q30" i="2"/>
  <c r="N1" i="2"/>
  <c r="O1" i="2" s="1"/>
  <c r="P1" i="2" s="1"/>
  <c r="Q1" i="2" s="1"/>
  <c r="R1" i="2" s="1"/>
  <c r="S1" i="2" s="1"/>
  <c r="T1" i="2" s="1"/>
  <c r="U1" i="2" s="1"/>
  <c r="V1" i="2" s="1"/>
  <c r="D6" i="1"/>
  <c r="D5" i="1"/>
  <c r="D4" i="1"/>
  <c r="H18" i="2" l="1"/>
  <c r="I18" i="2"/>
  <c r="J2" i="2"/>
  <c r="J18" i="2" s="1"/>
  <c r="R3" i="2"/>
  <c r="R4" i="2" s="1"/>
  <c r="R17" i="2"/>
  <c r="S17" i="2"/>
  <c r="S3" i="2"/>
  <c r="S4" i="2" s="1"/>
  <c r="P8" i="2"/>
  <c r="N8" i="2"/>
  <c r="N11" i="2" s="1"/>
  <c r="P21" i="2"/>
  <c r="N21" i="2"/>
  <c r="M8" i="2"/>
  <c r="M11" i="2" s="1"/>
  <c r="Q8" i="2"/>
  <c r="O8" i="2"/>
  <c r="Q26" i="2"/>
  <c r="R9" i="2" s="1"/>
  <c r="R26" i="2" s="1"/>
  <c r="D7" i="1"/>
  <c r="R6" i="2" l="1"/>
  <c r="S6" i="2" s="1"/>
  <c r="R5" i="2"/>
  <c r="S5" i="2" s="1"/>
  <c r="Q11" i="2"/>
  <c r="Q22" i="2"/>
  <c r="O11" i="2"/>
  <c r="O13" i="2" s="1"/>
  <c r="O22" i="2"/>
  <c r="P11" i="2"/>
  <c r="P22" i="2"/>
  <c r="O19" i="2"/>
  <c r="P13" i="2"/>
  <c r="P19" i="2"/>
  <c r="Q13" i="2"/>
  <c r="Q28" i="2" s="1"/>
  <c r="Q19" i="2"/>
  <c r="N13" i="2"/>
  <c r="N28" i="2" s="1"/>
  <c r="N19" i="2"/>
  <c r="T17" i="2"/>
  <c r="T3" i="2"/>
  <c r="T4" i="2" s="1"/>
  <c r="S9" i="2"/>
  <c r="T5" i="2" l="1"/>
  <c r="T6" i="2"/>
  <c r="P28" i="2"/>
  <c r="P15" i="2"/>
  <c r="R7" i="2"/>
  <c r="Q15" i="2"/>
  <c r="O28" i="2"/>
  <c r="O15" i="2"/>
  <c r="U3" i="2"/>
  <c r="U4" i="2" s="1"/>
  <c r="U17" i="2"/>
  <c r="U5" i="2" s="1"/>
  <c r="V17" i="2"/>
  <c r="V3" i="2"/>
  <c r="V4" i="2" s="1"/>
  <c r="S26" i="2"/>
  <c r="T9" i="2" s="1"/>
  <c r="V5" i="2" l="1"/>
  <c r="U6" i="2"/>
  <c r="V6" i="2" s="1"/>
  <c r="R8" i="2"/>
  <c r="R23" i="2"/>
  <c r="R11" i="2"/>
  <c r="R12" i="2" s="1"/>
  <c r="R13" i="2" s="1"/>
  <c r="R22" i="2"/>
  <c r="S7" i="2"/>
  <c r="T26" i="2"/>
  <c r="U9" i="2" s="1"/>
  <c r="M19" i="2"/>
  <c r="M13" i="2"/>
  <c r="M28" i="2" s="1"/>
  <c r="U7" i="2" l="1"/>
  <c r="U23" i="2" s="1"/>
  <c r="R28" i="2"/>
  <c r="R15" i="2"/>
  <c r="S8" i="2"/>
  <c r="S23" i="2"/>
  <c r="S11" i="2"/>
  <c r="S12" i="2" s="1"/>
  <c r="S13" i="2" s="1"/>
  <c r="S22" i="2"/>
  <c r="T7" i="2"/>
  <c r="U26" i="2"/>
  <c r="V9" i="2" s="1"/>
  <c r="T8" i="2" l="1"/>
  <c r="T23" i="2"/>
  <c r="S28" i="2"/>
  <c r="S15" i="2"/>
  <c r="T11" i="2"/>
  <c r="T12" i="2" s="1"/>
  <c r="T13" i="2" s="1"/>
  <c r="T22" i="2"/>
  <c r="V7" i="2"/>
  <c r="U8" i="2"/>
  <c r="V26" i="2"/>
  <c r="V8" i="2" l="1"/>
  <c r="V23" i="2"/>
  <c r="T15" i="2"/>
  <c r="T28" i="2"/>
  <c r="U11" i="2"/>
  <c r="U12" i="2" s="1"/>
  <c r="U13" i="2" s="1"/>
  <c r="U22" i="2"/>
  <c r="V11" i="2"/>
  <c r="V12" i="2" s="1"/>
  <c r="V13" i="2" s="1"/>
  <c r="V22" i="2"/>
  <c r="U28" i="2"/>
  <c r="U15" i="2"/>
  <c r="V28" i="2" l="1"/>
  <c r="W13" i="2"/>
  <c r="V15" i="2"/>
  <c r="X13" i="2" l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CA13" i="2" s="1"/>
  <c r="CB13" i="2" s="1"/>
  <c r="CC13" i="2" s="1"/>
  <c r="CD13" i="2" s="1"/>
  <c r="CE13" i="2" s="1"/>
  <c r="CF13" i="2" s="1"/>
  <c r="CG13" i="2" s="1"/>
  <c r="CH13" i="2" s="1"/>
  <c r="CI13" i="2" s="1"/>
  <c r="CJ13" i="2" s="1"/>
  <c r="CK13" i="2" s="1"/>
  <c r="CL13" i="2" s="1"/>
  <c r="CM13" i="2" s="1"/>
  <c r="CN13" i="2" s="1"/>
  <c r="CO13" i="2" s="1"/>
  <c r="CP13" i="2" s="1"/>
  <c r="CQ13" i="2" s="1"/>
  <c r="CR13" i="2" s="1"/>
  <c r="CS13" i="2" s="1"/>
  <c r="CT13" i="2" s="1"/>
  <c r="CU13" i="2" s="1"/>
  <c r="CV13" i="2" s="1"/>
  <c r="CW13" i="2" s="1"/>
  <c r="CX13" i="2" s="1"/>
  <c r="CY13" i="2" s="1"/>
  <c r="CZ13" i="2" s="1"/>
  <c r="DA13" i="2" s="1"/>
  <c r="DB13" i="2" s="1"/>
  <c r="DC13" i="2" s="1"/>
  <c r="DD13" i="2" s="1"/>
  <c r="DE13" i="2" s="1"/>
  <c r="DF13" i="2" s="1"/>
  <c r="DG13" i="2" s="1"/>
  <c r="DH13" i="2" s="1"/>
  <c r="DI13" i="2" s="1"/>
  <c r="DJ13" i="2" s="1"/>
  <c r="DK13" i="2" s="1"/>
  <c r="DL13" i="2" s="1"/>
  <c r="DM13" i="2" s="1"/>
  <c r="DN13" i="2" s="1"/>
  <c r="DO13" i="2" s="1"/>
  <c r="DP13" i="2" s="1"/>
  <c r="DQ13" i="2" s="1"/>
  <c r="DR13" i="2" s="1"/>
  <c r="DS13" i="2" s="1"/>
  <c r="DT13" i="2" s="1"/>
  <c r="DU13" i="2" s="1"/>
  <c r="DV13" i="2" s="1"/>
  <c r="DW13" i="2" s="1"/>
  <c r="DX13" i="2" s="1"/>
  <c r="DY13" i="2" s="1"/>
  <c r="DZ13" i="2" s="1"/>
  <c r="EA13" i="2" s="1"/>
  <c r="EB13" i="2" s="1"/>
  <c r="EC13" i="2" s="1"/>
  <c r="ED13" i="2" s="1"/>
  <c r="EE13" i="2" s="1"/>
  <c r="EF13" i="2" s="1"/>
  <c r="EG13" i="2" s="1"/>
  <c r="EH13" i="2" s="1"/>
  <c r="EI13" i="2" s="1"/>
  <c r="EJ13" i="2" s="1"/>
  <c r="EK13" i="2" s="1"/>
  <c r="EL13" i="2" s="1"/>
  <c r="EM13" i="2" s="1"/>
  <c r="Y18" i="2" l="1"/>
  <c r="Y19" i="2" s="1"/>
  <c r="Y20" i="2" s="1"/>
</calcChain>
</file>

<file path=xl/sharedStrings.xml><?xml version="1.0" encoding="utf-8"?>
<sst xmlns="http://schemas.openxmlformats.org/spreadsheetml/2006/main" count="58" uniqueCount="51">
  <si>
    <t>NVDA</t>
  </si>
  <si>
    <t>Price</t>
  </si>
  <si>
    <t>Shares</t>
  </si>
  <si>
    <t>MC</t>
  </si>
  <si>
    <t>Cash</t>
  </si>
  <si>
    <t>Debt</t>
  </si>
  <si>
    <t>EV</t>
  </si>
  <si>
    <t>Q424</t>
  </si>
  <si>
    <t>Revenue</t>
  </si>
  <si>
    <t>COGS</t>
  </si>
  <si>
    <t>Gross Profit</t>
  </si>
  <si>
    <t>R&amp;D</t>
  </si>
  <si>
    <t>SG&amp;A</t>
  </si>
  <si>
    <t>OPEX</t>
  </si>
  <si>
    <t>Operating Income</t>
  </si>
  <si>
    <t>Interest</t>
  </si>
  <si>
    <t>Other</t>
  </si>
  <si>
    <t>Pretax Income</t>
  </si>
  <si>
    <t>Tax</t>
  </si>
  <si>
    <t>Net Income</t>
  </si>
  <si>
    <t>EPS</t>
  </si>
  <si>
    <t>Revenue Growth y/y</t>
  </si>
  <si>
    <t>Revenue Growth q/q</t>
  </si>
  <si>
    <t>Gross Margin</t>
  </si>
  <si>
    <t>Q124</t>
  </si>
  <si>
    <t>Q224</t>
  </si>
  <si>
    <t>Q324</t>
  </si>
  <si>
    <t>Q125</t>
  </si>
  <si>
    <t>Net Cash</t>
  </si>
  <si>
    <t>AR</t>
  </si>
  <si>
    <t>AP</t>
  </si>
  <si>
    <t>NPV</t>
  </si>
  <si>
    <t>Maturity</t>
  </si>
  <si>
    <t>ROIC</t>
  </si>
  <si>
    <t>Discount</t>
  </si>
  <si>
    <t>Diff</t>
  </si>
  <si>
    <t>Tax Rate</t>
  </si>
  <si>
    <t>Model NI</t>
  </si>
  <si>
    <t>Reported NI</t>
  </si>
  <si>
    <t>Q425</t>
  </si>
  <si>
    <t>Q225</t>
  </si>
  <si>
    <t>Q325</t>
  </si>
  <si>
    <t>Operating Margin</t>
  </si>
  <si>
    <t>Main</t>
  </si>
  <si>
    <t>Hopper</t>
  </si>
  <si>
    <t>Blackwell 2025</t>
  </si>
  <si>
    <t>Rubin 2026</t>
  </si>
  <si>
    <t>Rubin Ultra 2027</t>
  </si>
  <si>
    <t>60% improvement on hopper</t>
  </si>
  <si>
    <t>OPEX Margin</t>
  </si>
  <si>
    <t>FCF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</si>
</sst>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3" fontId="1" fillId="0" borderId="0" xfId="0" applyNumberFormat="1" applyFont="1"/>
    <xf numFmtId="1" fontId="1" fillId="0" borderId="0" xfId="0" applyNumberFormat="1" applyFont="1"/>
    <xf numFmtId="3" fontId="2" fillId="0" borderId="0" xfId="0" applyNumberFormat="1" applyFont="1"/>
    <xf numFmtId="4" fontId="1" fillId="0" borderId="0" xfId="0" applyNumberFormat="1" applyFont="1"/>
    <xf numFmtId="9" fontId="1" fillId="0" borderId="0" xfId="0" applyNumberFormat="1" applyFont="1"/>
    <xf numFmtId="10" fontId="1" fillId="0" borderId="0" xfId="0" applyNumberFormat="1" applyFont="1"/>
    <xf numFmtId="9" fontId="2" fillId="0" borderId="0" xfId="0" applyNumberFormat="1" applyFont="1"/>
    <xf numFmtId="0" fontId="2" fillId="0" borderId="0" xfId="0" applyFont="1"/>
    <xf numFmtId="0" fontId="1" fillId="0" borderId="0" xfId="0" applyFont="1"/>
    <xf numFmtId="3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0</xdr:row>
      <xdr:rowOff>28575</xdr:rowOff>
    </xdr:from>
    <xdr:to>
      <xdr:col>6</xdr:col>
      <xdr:colOff>19050</xdr:colOff>
      <xdr:row>65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378CE67-E160-B97F-9ED5-8075185E0983}"/>
            </a:ext>
          </a:extLst>
        </xdr:cNvPr>
        <xdr:cNvCxnSpPr/>
      </xdr:nvCxnSpPr>
      <xdr:spPr>
        <a:xfrm>
          <a:off x="4191000" y="28575"/>
          <a:ext cx="38100" cy="11887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38100</xdr:colOff>
      <xdr:row>64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5C79990-BAC3-448E-9B59-F20A57DBC028}"/>
            </a:ext>
          </a:extLst>
        </xdr:cNvPr>
        <xdr:cNvCxnSpPr/>
      </xdr:nvCxnSpPr>
      <xdr:spPr>
        <a:xfrm>
          <a:off x="11010900" y="0"/>
          <a:ext cx="38100" cy="11820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FA77-31DD-4330-BECC-4D64D4EAFB80}">
  <dimension ref="A1:E12"/>
  <sheetViews>
    <sheetView zoomScale="250" zoomScaleNormal="250" workbookViewId="0">
      <selection activeCell="A10" sqref="A10"/>
    </sheetView>
  </sheetViews>
  <sheetFormatPr defaultRowHeight="14.25" x14ac:dyDescent="0.2"/>
  <cols>
    <col min="1" max="3" width="9.140625" style="9"/>
    <col min="4" max="4" width="10.42578125" style="9" customWidth="1"/>
    <col min="5" max="5" width="9.85546875" style="9" customWidth="1"/>
    <col min="6" max="16384" width="9.140625" style="9"/>
  </cols>
  <sheetData>
    <row r="1" spans="1:5" ht="15" x14ac:dyDescent="0.25">
      <c r="A1" s="8" t="s">
        <v>0</v>
      </c>
    </row>
    <row r="2" spans="1:5" x14ac:dyDescent="0.2">
      <c r="C2" s="9" t="s">
        <v>1</v>
      </c>
      <c r="D2" s="1">
        <v>135</v>
      </c>
    </row>
    <row r="3" spans="1:5" x14ac:dyDescent="0.2">
      <c r="C3" s="9" t="s">
        <v>2</v>
      </c>
      <c r="D3" s="1">
        <v>24400</v>
      </c>
      <c r="E3" s="9" t="s">
        <v>39</v>
      </c>
    </row>
    <row r="4" spans="1:5" x14ac:dyDescent="0.2">
      <c r="C4" s="9" t="s">
        <v>3</v>
      </c>
      <c r="D4" s="1">
        <f>D3*D2</f>
        <v>3294000</v>
      </c>
    </row>
    <row r="5" spans="1:5" x14ac:dyDescent="0.2">
      <c r="C5" s="9" t="s">
        <v>4</v>
      </c>
      <c r="D5" s="1">
        <f>8589+34621</f>
        <v>43210</v>
      </c>
      <c r="E5" s="9" t="s">
        <v>39</v>
      </c>
    </row>
    <row r="6" spans="1:5" x14ac:dyDescent="0.2">
      <c r="C6" s="9" t="s">
        <v>5</v>
      </c>
      <c r="D6" s="1">
        <f>8463+4245</f>
        <v>12708</v>
      </c>
      <c r="E6" s="9" t="s">
        <v>39</v>
      </c>
    </row>
    <row r="7" spans="1:5" x14ac:dyDescent="0.2">
      <c r="C7" s="9" t="s">
        <v>6</v>
      </c>
      <c r="D7" s="1">
        <f>D4+D6-D5</f>
        <v>3263498</v>
      </c>
    </row>
    <row r="9" spans="1:5" x14ac:dyDescent="0.2">
      <c r="A9" s="9" t="s">
        <v>44</v>
      </c>
    </row>
    <row r="10" spans="1:5" x14ac:dyDescent="0.2">
      <c r="A10" s="9" t="s">
        <v>45</v>
      </c>
      <c r="C10" s="9" t="s">
        <v>48</v>
      </c>
    </row>
    <row r="11" spans="1:5" x14ac:dyDescent="0.2">
      <c r="A11" s="9" t="s">
        <v>46</v>
      </c>
    </row>
    <row r="12" spans="1:5" x14ac:dyDescent="0.2">
      <c r="A12" s="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BE28-398D-4CC8-A7C9-E94B6BC720A8}">
  <dimension ref="A1:EM34"/>
  <sheetViews>
    <sheetView tabSelected="1" workbookViewId="0">
      <pane xSplit="2" ySplit="1" topLeftCell="Q2" activePane="bottomRight" state="frozen"/>
      <selection pane="topRight" activeCell="B1" sqref="B1"/>
      <selection pane="bottomLeft" activeCell="A2" sqref="A2"/>
      <selection pane="bottomRight" activeCell="X16" sqref="X16"/>
    </sheetView>
  </sheetViews>
  <sheetFormatPr defaultRowHeight="14.25" x14ac:dyDescent="0.2"/>
  <cols>
    <col min="1" max="1" width="5" style="1" customWidth="1"/>
    <col min="2" max="2" width="21.42578125" style="1" customWidth="1"/>
    <col min="3" max="5" width="9.140625" style="1"/>
    <col min="6" max="10" width="9.28515625" style="1" bestFit="1" customWidth="1"/>
    <col min="11" max="11" width="9.140625" style="1"/>
    <col min="12" max="24" width="9.28515625" style="1" bestFit="1" customWidth="1"/>
    <col min="25" max="25" width="10.140625" style="1" bestFit="1" customWidth="1"/>
    <col min="26" max="119" width="9.28515625" style="1" bestFit="1" customWidth="1"/>
    <col min="120" max="143" width="10.140625" style="1" bestFit="1" customWidth="1"/>
    <col min="144" max="16384" width="9.140625" style="1"/>
  </cols>
  <sheetData>
    <row r="1" spans="1:143" ht="15" x14ac:dyDescent="0.25">
      <c r="A1" s="10" t="s">
        <v>43</v>
      </c>
      <c r="C1" s="1" t="s">
        <v>24</v>
      </c>
      <c r="D1" s="1" t="s">
        <v>25</v>
      </c>
      <c r="E1" s="1" t="s">
        <v>26</v>
      </c>
      <c r="F1" s="1" t="s">
        <v>7</v>
      </c>
      <c r="G1" s="1" t="s">
        <v>27</v>
      </c>
      <c r="H1" s="1" t="s">
        <v>40</v>
      </c>
      <c r="I1" s="1" t="s">
        <v>41</v>
      </c>
      <c r="J1" s="1" t="s">
        <v>39</v>
      </c>
      <c r="L1" s="2">
        <v>2020</v>
      </c>
      <c r="M1" s="2">
        <v>2021</v>
      </c>
      <c r="N1" s="2">
        <f>M1+1</f>
        <v>2022</v>
      </c>
      <c r="O1" s="2">
        <f t="shared" ref="O1:V1" si="0">N1+1</f>
        <v>2023</v>
      </c>
      <c r="P1" s="2">
        <f t="shared" si="0"/>
        <v>2024</v>
      </c>
      <c r="Q1" s="2">
        <f t="shared" si="0"/>
        <v>2025</v>
      </c>
      <c r="R1" s="2">
        <f t="shared" si="0"/>
        <v>2026</v>
      </c>
      <c r="S1" s="2">
        <f t="shared" si="0"/>
        <v>2027</v>
      </c>
      <c r="T1" s="2">
        <f t="shared" si="0"/>
        <v>2028</v>
      </c>
      <c r="U1" s="2">
        <f t="shared" si="0"/>
        <v>2029</v>
      </c>
      <c r="V1" s="2">
        <f t="shared" si="0"/>
        <v>2030</v>
      </c>
    </row>
    <row r="2" spans="1:143" s="3" customFormat="1" ht="15" x14ac:dyDescent="0.25">
      <c r="B2" s="3" t="s">
        <v>8</v>
      </c>
      <c r="F2" s="3">
        <v>39300</v>
      </c>
      <c r="G2" s="3">
        <v>43000</v>
      </c>
      <c r="H2" s="3">
        <f>G2*1.09</f>
        <v>46870</v>
      </c>
      <c r="I2" s="3">
        <f t="shared" ref="I2:J2" si="1">H2*1.09</f>
        <v>51088.3</v>
      </c>
      <c r="J2" s="3">
        <f t="shared" si="1"/>
        <v>55686.24700000001</v>
      </c>
      <c r="O2" s="3">
        <v>26974</v>
      </c>
      <c r="P2" s="3">
        <v>60922</v>
      </c>
      <c r="Q2" s="3">
        <v>130497</v>
      </c>
      <c r="R2" s="3">
        <v>200000</v>
      </c>
      <c r="S2" s="3">
        <f>R2*1.33</f>
        <v>266000</v>
      </c>
      <c r="T2" s="3">
        <f t="shared" ref="T2:V2" si="2">S2*1.33</f>
        <v>353780</v>
      </c>
      <c r="U2" s="3">
        <f t="shared" si="2"/>
        <v>470527.4</v>
      </c>
      <c r="V2" s="3">
        <f t="shared" si="2"/>
        <v>625801.44200000004</v>
      </c>
    </row>
    <row r="3" spans="1:143" ht="15" x14ac:dyDescent="0.25">
      <c r="B3" s="1" t="s">
        <v>9</v>
      </c>
      <c r="O3" s="1">
        <v>11618</v>
      </c>
      <c r="P3" s="1">
        <v>16621</v>
      </c>
      <c r="Q3" s="1">
        <v>32639</v>
      </c>
      <c r="R3" s="1">
        <f>R2*(1-R21)</f>
        <v>48522.831942496756</v>
      </c>
      <c r="S3" s="1">
        <f t="shared" ref="S3:V3" si="3">S2*(1-S21)</f>
        <v>62520.720148355897</v>
      </c>
      <c r="T3" s="1">
        <f t="shared" si="3"/>
        <v>80446.283375286468</v>
      </c>
      <c r="U3" s="1">
        <f t="shared" si="3"/>
        <v>103358.21845802231</v>
      </c>
      <c r="V3" s="1">
        <f t="shared" si="3"/>
        <v>132583.08043466139</v>
      </c>
      <c r="Z3" s="3"/>
    </row>
    <row r="4" spans="1:143" ht="15" x14ac:dyDescent="0.25">
      <c r="B4" s="1" t="s">
        <v>10</v>
      </c>
      <c r="M4" s="1">
        <f>M2-M3</f>
        <v>0</v>
      </c>
      <c r="N4" s="1">
        <f t="shared" ref="N4:Q4" si="4">N2-N3</f>
        <v>0</v>
      </c>
      <c r="O4" s="1">
        <f t="shared" si="4"/>
        <v>15356</v>
      </c>
      <c r="P4" s="1">
        <f t="shared" si="4"/>
        <v>44301</v>
      </c>
      <c r="Q4" s="1">
        <f t="shared" si="4"/>
        <v>97858</v>
      </c>
      <c r="R4" s="1">
        <f>R2-R3</f>
        <v>151477.16805750324</v>
      </c>
      <c r="S4" s="1">
        <f t="shared" ref="S4:V4" si="5">S2-S3</f>
        <v>203479.2798516441</v>
      </c>
      <c r="T4" s="1">
        <f t="shared" si="5"/>
        <v>273333.7166247135</v>
      </c>
      <c r="U4" s="1">
        <f t="shared" si="5"/>
        <v>367169.18154197768</v>
      </c>
      <c r="V4" s="1">
        <f t="shared" si="5"/>
        <v>493218.36156533868</v>
      </c>
      <c r="Z4" s="3"/>
    </row>
    <row r="5" spans="1:143" ht="15" x14ac:dyDescent="0.25">
      <c r="B5" s="1" t="s">
        <v>11</v>
      </c>
      <c r="O5" s="1">
        <v>7339</v>
      </c>
      <c r="P5" s="1">
        <v>8675</v>
      </c>
      <c r="Q5" s="1">
        <v>12914</v>
      </c>
      <c r="R5" s="1">
        <f>Q5*(1+R17)</f>
        <v>19792.025870326521</v>
      </c>
      <c r="S5" s="1">
        <f t="shared" ref="S5:V5" si="6">R5*(1+S17)</f>
        <v>26323.394407534273</v>
      </c>
      <c r="T5" s="1">
        <f t="shared" si="6"/>
        <v>35010.114562020586</v>
      </c>
      <c r="U5" s="1">
        <f t="shared" si="6"/>
        <v>46563.452367487385</v>
      </c>
      <c r="V5" s="1">
        <f t="shared" si="6"/>
        <v>61929.391648758225</v>
      </c>
      <c r="Z5" s="3"/>
    </row>
    <row r="6" spans="1:143" ht="15" x14ac:dyDescent="0.25">
      <c r="B6" s="1" t="s">
        <v>12</v>
      </c>
      <c r="O6" s="1">
        <v>2440</v>
      </c>
      <c r="P6" s="1">
        <v>2654</v>
      </c>
      <c r="Q6" s="1">
        <v>3491</v>
      </c>
      <c r="R6" s="1">
        <f>Q6*(1+R17)</f>
        <v>5350.31456661839</v>
      </c>
      <c r="S6" s="1">
        <f t="shared" ref="S6:V6" si="7">R6*(1+S17)</f>
        <v>7115.9183736024588</v>
      </c>
      <c r="T6" s="1">
        <f t="shared" si="7"/>
        <v>9464.1714368912708</v>
      </c>
      <c r="U6" s="1">
        <f t="shared" si="7"/>
        <v>12587.348011065391</v>
      </c>
      <c r="V6" s="1">
        <f t="shared" si="7"/>
        <v>16741.17285471697</v>
      </c>
      <c r="Z6" s="3"/>
    </row>
    <row r="7" spans="1:143" ht="15" x14ac:dyDescent="0.25">
      <c r="B7" s="1" t="s">
        <v>13</v>
      </c>
      <c r="M7" s="1">
        <f>SUM(M5:M6)</f>
        <v>0</v>
      </c>
      <c r="N7" s="1">
        <f t="shared" ref="N7:Q7" si="8">SUM(N5:N6)</f>
        <v>0</v>
      </c>
      <c r="O7" s="1">
        <f t="shared" si="8"/>
        <v>9779</v>
      </c>
      <c r="P7" s="1">
        <f t="shared" si="8"/>
        <v>11329</v>
      </c>
      <c r="Q7" s="1">
        <f t="shared" si="8"/>
        <v>16405</v>
      </c>
      <c r="R7" s="1">
        <f>SUM(R5:R6)</f>
        <v>25142.340436944913</v>
      </c>
      <c r="S7" s="1">
        <f t="shared" ref="S7:V7" si="9">SUM(S5:S6)</f>
        <v>33439.31278113673</v>
      </c>
      <c r="T7" s="1">
        <f t="shared" si="9"/>
        <v>44474.285998911859</v>
      </c>
      <c r="U7" s="1">
        <f t="shared" si="9"/>
        <v>59150.800378552776</v>
      </c>
      <c r="V7" s="1">
        <f t="shared" si="9"/>
        <v>78670.564503475194</v>
      </c>
      <c r="Z7" s="3"/>
    </row>
    <row r="8" spans="1:143" ht="15" x14ac:dyDescent="0.25">
      <c r="B8" s="1" t="s">
        <v>14</v>
      </c>
      <c r="M8" s="1">
        <f>M4-M7</f>
        <v>0</v>
      </c>
      <c r="N8" s="1">
        <f t="shared" ref="N8:Q8" si="10">N4-N7</f>
        <v>0</v>
      </c>
      <c r="O8" s="1">
        <f t="shared" si="10"/>
        <v>5577</v>
      </c>
      <c r="P8" s="1">
        <f t="shared" si="10"/>
        <v>32972</v>
      </c>
      <c r="Q8" s="1">
        <f t="shared" si="10"/>
        <v>81453</v>
      </c>
      <c r="R8" s="1">
        <f>R4-R7</f>
        <v>126334.82762055832</v>
      </c>
      <c r="S8" s="1">
        <f t="shared" ref="S8:V8" si="11">S4-S7</f>
        <v>170039.96707050735</v>
      </c>
      <c r="T8" s="1">
        <f t="shared" si="11"/>
        <v>228859.43062580164</v>
      </c>
      <c r="U8" s="1">
        <f t="shared" si="11"/>
        <v>308018.38116342493</v>
      </c>
      <c r="V8" s="1">
        <f t="shared" si="11"/>
        <v>414547.79706186347</v>
      </c>
      <c r="Z8" s="3"/>
    </row>
    <row r="9" spans="1:143" ht="15" x14ac:dyDescent="0.25">
      <c r="B9" s="1" t="s">
        <v>15</v>
      </c>
      <c r="M9" s="1">
        <f>L26*$Y$15</f>
        <v>0</v>
      </c>
      <c r="N9" s="1">
        <f>M26*$Y$15</f>
        <v>0</v>
      </c>
      <c r="O9" s="1">
        <f>267-262</f>
        <v>5</v>
      </c>
      <c r="P9" s="1">
        <f>866-257</f>
        <v>609</v>
      </c>
      <c r="Q9" s="1">
        <f>1786-247</f>
        <v>1539</v>
      </c>
      <c r="R9" s="1">
        <f>Q26*$Y$15</f>
        <v>2135.1400000000003</v>
      </c>
      <c r="S9" s="1">
        <f>R26*$Y$15</f>
        <v>2284.5998</v>
      </c>
      <c r="T9" s="1">
        <f>S26*$Y$15</f>
        <v>2444.5217859999998</v>
      </c>
      <c r="U9" s="1">
        <f>T26*$Y$15</f>
        <v>2615.6383110199999</v>
      </c>
      <c r="V9" s="1">
        <f>U26*$Y$15</f>
        <v>2798.7329927913997</v>
      </c>
      <c r="Z9" s="3"/>
    </row>
    <row r="10" spans="1:143" ht="15" x14ac:dyDescent="0.25">
      <c r="B10" s="1" t="s">
        <v>16</v>
      </c>
      <c r="O10" s="1">
        <v>-48</v>
      </c>
      <c r="P10" s="1">
        <v>237</v>
      </c>
      <c r="Q10" s="1">
        <v>1034</v>
      </c>
      <c r="R10" s="1">
        <f>Q10*1.02</f>
        <v>1054.68</v>
      </c>
      <c r="S10" s="1">
        <f t="shared" ref="S10:V10" si="12">R10*1.02</f>
        <v>1075.7736</v>
      </c>
      <c r="T10" s="1">
        <f t="shared" si="12"/>
        <v>1097.289072</v>
      </c>
      <c r="U10" s="1">
        <f t="shared" si="12"/>
        <v>1119.2348534400001</v>
      </c>
      <c r="V10" s="1">
        <f t="shared" si="12"/>
        <v>1141.6195505088001</v>
      </c>
      <c r="Z10" s="3"/>
    </row>
    <row r="11" spans="1:143" x14ac:dyDescent="0.2">
      <c r="B11" s="1" t="s">
        <v>17</v>
      </c>
      <c r="M11" s="1">
        <f>M8+SUM(M9:M10)</f>
        <v>0</v>
      </c>
      <c r="N11" s="1">
        <f t="shared" ref="N11:Q11" si="13">N8+SUM(N9:N10)</f>
        <v>0</v>
      </c>
      <c r="O11" s="1">
        <f t="shared" si="13"/>
        <v>5534</v>
      </c>
      <c r="P11" s="1">
        <f t="shared" si="13"/>
        <v>33818</v>
      </c>
      <c r="Q11" s="1">
        <f t="shared" si="13"/>
        <v>84026</v>
      </c>
      <c r="R11" s="1">
        <f>R8+SUM(R9:R10)</f>
        <v>129524.64762055833</v>
      </c>
      <c r="S11" s="1">
        <f t="shared" ref="S11:V11" si="14">S8+SUM(S9:S10)</f>
        <v>173400.34047050736</v>
      </c>
      <c r="T11" s="1">
        <f t="shared" si="14"/>
        <v>232401.24148380166</v>
      </c>
      <c r="U11" s="1">
        <f t="shared" si="14"/>
        <v>311753.25432788493</v>
      </c>
      <c r="V11" s="1">
        <f t="shared" si="14"/>
        <v>418488.14960516366</v>
      </c>
    </row>
    <row r="12" spans="1:143" x14ac:dyDescent="0.2">
      <c r="B12" s="1" t="s">
        <v>18</v>
      </c>
      <c r="O12" s="1">
        <v>-187</v>
      </c>
      <c r="P12" s="1">
        <v>4058</v>
      </c>
      <c r="Q12" s="1">
        <v>11146</v>
      </c>
      <c r="R12" s="1">
        <f>R11*R19</f>
        <v>24609.683047906085</v>
      </c>
      <c r="S12" s="1">
        <f t="shared" ref="S12:V12" si="15">S11*S19</f>
        <v>32946.0646893964</v>
      </c>
      <c r="T12" s="1">
        <f t="shared" si="15"/>
        <v>44156.235881922315</v>
      </c>
      <c r="U12" s="1">
        <f t="shared" si="15"/>
        <v>59233.118322298134</v>
      </c>
      <c r="V12" s="1">
        <f t="shared" si="15"/>
        <v>79512.748424981095</v>
      </c>
    </row>
    <row r="13" spans="1:143" s="3" customFormat="1" ht="15" x14ac:dyDescent="0.25">
      <c r="B13" s="3" t="s">
        <v>19</v>
      </c>
      <c r="M13" s="3">
        <f>M11-M12</f>
        <v>0</v>
      </c>
      <c r="N13" s="3">
        <f t="shared" ref="N13:Q13" si="16">N11-N12</f>
        <v>0</v>
      </c>
      <c r="O13" s="3">
        <f t="shared" si="16"/>
        <v>5721</v>
      </c>
      <c r="P13" s="3">
        <f t="shared" si="16"/>
        <v>29760</v>
      </c>
      <c r="Q13" s="3">
        <f t="shared" si="16"/>
        <v>72880</v>
      </c>
      <c r="R13" s="3">
        <f>R11-R12</f>
        <v>104914.96457265224</v>
      </c>
      <c r="S13" s="3">
        <f t="shared" ref="S13:V13" si="17">S11-S12</f>
        <v>140454.27578111098</v>
      </c>
      <c r="T13" s="3">
        <f t="shared" si="17"/>
        <v>188245.00560187933</v>
      </c>
      <c r="U13" s="3">
        <f t="shared" si="17"/>
        <v>252520.1360055868</v>
      </c>
      <c r="V13" s="3">
        <f t="shared" si="17"/>
        <v>338975.40118018258</v>
      </c>
      <c r="W13" s="3">
        <f t="shared" ref="W13:BB13" si="18">V13*(1+$Y$16)</f>
        <v>349144.66321558808</v>
      </c>
      <c r="X13" s="3">
        <f t="shared" si="18"/>
        <v>359619.00311205571</v>
      </c>
      <c r="Y13" s="3">
        <f t="shared" si="18"/>
        <v>370407.57320541737</v>
      </c>
      <c r="Z13" s="3">
        <f t="shared" si="18"/>
        <v>381519.80040157988</v>
      </c>
      <c r="AA13" s="3">
        <f t="shared" si="18"/>
        <v>392965.39441362728</v>
      </c>
      <c r="AB13" s="3">
        <f t="shared" si="18"/>
        <v>404754.35624603613</v>
      </c>
      <c r="AC13" s="3">
        <f t="shared" si="18"/>
        <v>416896.98693341721</v>
      </c>
      <c r="AD13" s="3">
        <f t="shared" si="18"/>
        <v>429403.89654141973</v>
      </c>
      <c r="AE13" s="3">
        <f t="shared" si="18"/>
        <v>442286.01343766233</v>
      </c>
      <c r="AF13" s="3">
        <f t="shared" si="18"/>
        <v>455554.59384079219</v>
      </c>
      <c r="AG13" s="3">
        <f t="shared" si="18"/>
        <v>469221.23165601597</v>
      </c>
      <c r="AH13" s="3">
        <f t="shared" si="18"/>
        <v>483297.86860569648</v>
      </c>
      <c r="AI13" s="3">
        <f t="shared" si="18"/>
        <v>497796.8046638674</v>
      </c>
      <c r="AJ13" s="3">
        <f t="shared" si="18"/>
        <v>512730.70880378346</v>
      </c>
      <c r="AK13" s="3">
        <f t="shared" si="18"/>
        <v>528112.63006789703</v>
      </c>
      <c r="AL13" s="3">
        <f t="shared" si="18"/>
        <v>543956.00896993396</v>
      </c>
      <c r="AM13" s="3">
        <f t="shared" si="18"/>
        <v>560274.68923903198</v>
      </c>
      <c r="AN13" s="3">
        <f t="shared" si="18"/>
        <v>577082.92991620291</v>
      </c>
      <c r="AO13" s="3">
        <f t="shared" si="18"/>
        <v>594395.41781368898</v>
      </c>
      <c r="AP13" s="3">
        <f t="shared" si="18"/>
        <v>612227.28034809965</v>
      </c>
      <c r="AQ13" s="3">
        <f t="shared" si="18"/>
        <v>630594.09875854268</v>
      </c>
      <c r="AR13" s="3">
        <f t="shared" si="18"/>
        <v>649511.92172129895</v>
      </c>
      <c r="AS13" s="3">
        <f t="shared" si="18"/>
        <v>668997.27937293798</v>
      </c>
      <c r="AT13" s="3">
        <f t="shared" si="18"/>
        <v>689067.19775412616</v>
      </c>
      <c r="AU13" s="3">
        <f t="shared" si="18"/>
        <v>709739.21368674992</v>
      </c>
      <c r="AV13" s="3">
        <f t="shared" si="18"/>
        <v>731031.39009735244</v>
      </c>
      <c r="AW13" s="3">
        <f t="shared" si="18"/>
        <v>752962.33180027304</v>
      </c>
      <c r="AX13" s="3">
        <f t="shared" si="18"/>
        <v>775551.2017542813</v>
      </c>
      <c r="AY13" s="3">
        <f t="shared" si="18"/>
        <v>798817.73780690972</v>
      </c>
      <c r="AZ13" s="3">
        <f t="shared" si="18"/>
        <v>822782.26994111703</v>
      </c>
      <c r="BA13" s="3">
        <f t="shared" si="18"/>
        <v>847465.7380393506</v>
      </c>
      <c r="BB13" s="3">
        <f t="shared" si="18"/>
        <v>872889.71018053114</v>
      </c>
      <c r="BC13" s="3">
        <f t="shared" ref="BC13:CH13" si="19">BB13*(1+$Y$16)</f>
        <v>899076.40148594708</v>
      </c>
      <c r="BD13" s="3">
        <f t="shared" si="19"/>
        <v>926048.69353052555</v>
      </c>
      <c r="BE13" s="3">
        <f t="shared" si="19"/>
        <v>953830.15433644131</v>
      </c>
      <c r="BF13" s="3">
        <f t="shared" si="19"/>
        <v>982445.05896653456</v>
      </c>
      <c r="BG13" s="3">
        <f t="shared" si="19"/>
        <v>1011918.4107355307</v>
      </c>
      <c r="BH13" s="3">
        <f t="shared" si="19"/>
        <v>1042275.9630575966</v>
      </c>
      <c r="BI13" s="3">
        <f t="shared" si="19"/>
        <v>1073544.2419493245</v>
      </c>
      <c r="BJ13" s="3">
        <f t="shared" si="19"/>
        <v>1105750.5692078043</v>
      </c>
      <c r="BK13" s="3">
        <f t="shared" si="19"/>
        <v>1138923.0862840384</v>
      </c>
      <c r="BL13" s="3">
        <f t="shared" si="19"/>
        <v>1173090.7788725595</v>
      </c>
      <c r="BM13" s="3">
        <f t="shared" si="19"/>
        <v>1208283.5022387363</v>
      </c>
      <c r="BN13" s="3">
        <f t="shared" si="19"/>
        <v>1244532.0073058985</v>
      </c>
      <c r="BO13" s="3">
        <f t="shared" si="19"/>
        <v>1281867.9675250754</v>
      </c>
      <c r="BP13" s="3">
        <f t="shared" si="19"/>
        <v>1320324.0065508278</v>
      </c>
      <c r="BQ13" s="3">
        <f t="shared" si="19"/>
        <v>1359933.7267473526</v>
      </c>
      <c r="BR13" s="3">
        <f t="shared" si="19"/>
        <v>1400731.7385497733</v>
      </c>
      <c r="BS13" s="3">
        <f t="shared" si="19"/>
        <v>1442753.6907062666</v>
      </c>
      <c r="BT13" s="3">
        <f t="shared" si="19"/>
        <v>1486036.3014274547</v>
      </c>
      <c r="BU13" s="3">
        <f t="shared" si="19"/>
        <v>1530617.3904702784</v>
      </c>
      <c r="BV13" s="3">
        <f t="shared" si="19"/>
        <v>1576535.9121843867</v>
      </c>
      <c r="BW13" s="3">
        <f t="shared" si="19"/>
        <v>1623831.9895499183</v>
      </c>
      <c r="BX13" s="3">
        <f t="shared" si="19"/>
        <v>1672546.949236416</v>
      </c>
      <c r="BY13" s="3">
        <f t="shared" si="19"/>
        <v>1722723.3577135087</v>
      </c>
      <c r="BZ13" s="3">
        <f t="shared" si="19"/>
        <v>1774405.0584449139</v>
      </c>
      <c r="CA13" s="3">
        <f t="shared" si="19"/>
        <v>1827637.2101982613</v>
      </c>
      <c r="CB13" s="3">
        <f t="shared" si="19"/>
        <v>1882466.3265042093</v>
      </c>
      <c r="CC13" s="3">
        <f t="shared" si="19"/>
        <v>1938940.3162993356</v>
      </c>
      <c r="CD13" s="3">
        <f t="shared" si="19"/>
        <v>1997108.5257883156</v>
      </c>
      <c r="CE13" s="3">
        <f t="shared" si="19"/>
        <v>2057021.7815619651</v>
      </c>
      <c r="CF13" s="3">
        <f t="shared" si="19"/>
        <v>2118732.4350088243</v>
      </c>
      <c r="CG13" s="3">
        <f t="shared" si="19"/>
        <v>2182294.408059089</v>
      </c>
      <c r="CH13" s="3">
        <f t="shared" si="19"/>
        <v>2247763.2403008617</v>
      </c>
      <c r="CI13" s="3">
        <f t="shared" ref="CI13:DN13" si="20">CH13*(1+$Y$16)</f>
        <v>2315196.1375098876</v>
      </c>
      <c r="CJ13" s="3">
        <f t="shared" si="20"/>
        <v>2384652.0216351841</v>
      </c>
      <c r="CK13" s="3">
        <f t="shared" si="20"/>
        <v>2456191.5822842396</v>
      </c>
      <c r="CL13" s="3">
        <f t="shared" si="20"/>
        <v>2529877.329752767</v>
      </c>
      <c r="CM13" s="3">
        <f t="shared" si="20"/>
        <v>2605773.6496453499</v>
      </c>
      <c r="CN13" s="3">
        <f t="shared" si="20"/>
        <v>2683946.8591347104</v>
      </c>
      <c r="CO13" s="3">
        <f t="shared" si="20"/>
        <v>2764465.2649087519</v>
      </c>
      <c r="CP13" s="3">
        <f t="shared" si="20"/>
        <v>2847399.2228560145</v>
      </c>
      <c r="CQ13" s="3">
        <f t="shared" si="20"/>
        <v>2932821.199541695</v>
      </c>
      <c r="CR13" s="3">
        <f t="shared" si="20"/>
        <v>3020805.8355279458</v>
      </c>
      <c r="CS13" s="3">
        <f t="shared" si="20"/>
        <v>3111430.010593784</v>
      </c>
      <c r="CT13" s="3">
        <f t="shared" si="20"/>
        <v>3204772.9109115978</v>
      </c>
      <c r="CU13" s="3">
        <f t="shared" si="20"/>
        <v>3300916.0982389459</v>
      </c>
      <c r="CV13" s="3">
        <f t="shared" si="20"/>
        <v>3399943.5811861143</v>
      </c>
      <c r="CW13" s="3">
        <f t="shared" si="20"/>
        <v>3501941.8886216977</v>
      </c>
      <c r="CX13" s="3">
        <f t="shared" si="20"/>
        <v>3607000.1452803486</v>
      </c>
      <c r="CY13" s="3">
        <f t="shared" si="20"/>
        <v>3715210.149638759</v>
      </c>
      <c r="CZ13" s="3">
        <f t="shared" si="20"/>
        <v>3826666.4541279217</v>
      </c>
      <c r="DA13" s="3">
        <f t="shared" si="20"/>
        <v>3941466.4477517596</v>
      </c>
      <c r="DB13" s="3">
        <f t="shared" si="20"/>
        <v>4059710.4411843126</v>
      </c>
      <c r="DC13" s="3">
        <f t="shared" si="20"/>
        <v>4181501.7544198423</v>
      </c>
      <c r="DD13" s="3">
        <f t="shared" si="20"/>
        <v>4306946.8070524372</v>
      </c>
      <c r="DE13" s="3">
        <f t="shared" si="20"/>
        <v>4436155.2112640105</v>
      </c>
      <c r="DF13" s="3">
        <f t="shared" si="20"/>
        <v>4569239.8676019311</v>
      </c>
      <c r="DG13" s="3">
        <f t="shared" si="20"/>
        <v>4706317.0636299895</v>
      </c>
      <c r="DH13" s="3">
        <f t="shared" si="20"/>
        <v>4847506.5755388895</v>
      </c>
      <c r="DI13" s="3">
        <f t="shared" si="20"/>
        <v>4992931.7728050565</v>
      </c>
      <c r="DJ13" s="3">
        <f t="shared" si="20"/>
        <v>5142719.7259892086</v>
      </c>
      <c r="DK13" s="3">
        <f t="shared" si="20"/>
        <v>5297001.3177688848</v>
      </c>
      <c r="DL13" s="3">
        <f t="shared" si="20"/>
        <v>5455911.3573019514</v>
      </c>
      <c r="DM13" s="3">
        <f t="shared" si="20"/>
        <v>5619588.6980210105</v>
      </c>
      <c r="DN13" s="3">
        <f t="shared" si="20"/>
        <v>5788176.3589616409</v>
      </c>
      <c r="DO13" s="3">
        <f t="shared" ref="DO13:EM13" si="21">DN13*(1+$Y$16)</f>
        <v>5961821.6497304905</v>
      </c>
      <c r="DP13" s="3">
        <f t="shared" si="21"/>
        <v>6140676.2992224051</v>
      </c>
      <c r="DQ13" s="3">
        <f t="shared" si="21"/>
        <v>6324896.5881990772</v>
      </c>
      <c r="DR13" s="3">
        <f t="shared" si="21"/>
        <v>6514643.4858450498</v>
      </c>
      <c r="DS13" s="3">
        <f t="shared" si="21"/>
        <v>6710082.7904204018</v>
      </c>
      <c r="DT13" s="3">
        <f t="shared" si="21"/>
        <v>6911385.2741330145</v>
      </c>
      <c r="DU13" s="3">
        <f t="shared" si="21"/>
        <v>7118726.8323570052</v>
      </c>
      <c r="DV13" s="3">
        <f t="shared" si="21"/>
        <v>7332288.6373277158</v>
      </c>
      <c r="DW13" s="3">
        <f t="shared" si="21"/>
        <v>7552257.2964475472</v>
      </c>
      <c r="DX13" s="3">
        <f t="shared" si="21"/>
        <v>7778825.0153409736</v>
      </c>
      <c r="DY13" s="3">
        <f t="shared" si="21"/>
        <v>8012189.7658012034</v>
      </c>
      <c r="DZ13" s="3">
        <f t="shared" si="21"/>
        <v>8252555.45877524</v>
      </c>
      <c r="EA13" s="3">
        <f t="shared" si="21"/>
        <v>8500132.1225384977</v>
      </c>
      <c r="EB13" s="3">
        <f t="shared" si="21"/>
        <v>8755136.0862146523</v>
      </c>
      <c r="EC13" s="3">
        <f t="shared" si="21"/>
        <v>9017790.1688010916</v>
      </c>
      <c r="ED13" s="3">
        <f t="shared" si="21"/>
        <v>9288323.8738651238</v>
      </c>
      <c r="EE13" s="3">
        <f t="shared" si="21"/>
        <v>9566973.5900810771</v>
      </c>
      <c r="EF13" s="3">
        <f t="shared" si="21"/>
        <v>9853982.7977835089</v>
      </c>
      <c r="EG13" s="3">
        <f t="shared" si="21"/>
        <v>10149602.281717014</v>
      </c>
      <c r="EH13" s="3">
        <f t="shared" si="21"/>
        <v>10454090.350168524</v>
      </c>
      <c r="EI13" s="3">
        <f t="shared" si="21"/>
        <v>10767713.06067358</v>
      </c>
      <c r="EJ13" s="3">
        <f t="shared" si="21"/>
        <v>11090744.452493787</v>
      </c>
      <c r="EK13" s="3">
        <f t="shared" si="21"/>
        <v>11423466.786068602</v>
      </c>
      <c r="EL13" s="3">
        <f t="shared" si="21"/>
        <v>11766170.78965066</v>
      </c>
      <c r="EM13" s="3">
        <f t="shared" si="21"/>
        <v>12119155.913340179</v>
      </c>
    </row>
    <row r="14" spans="1:143" x14ac:dyDescent="0.2">
      <c r="B14" s="1" t="s">
        <v>2</v>
      </c>
      <c r="O14" s="1">
        <v>25070</v>
      </c>
      <c r="P14" s="1">
        <v>24940</v>
      </c>
      <c r="Q14" s="1">
        <v>24400</v>
      </c>
      <c r="R14" s="1">
        <v>24400</v>
      </c>
      <c r="S14" s="1">
        <v>24400</v>
      </c>
      <c r="T14" s="1">
        <v>24400</v>
      </c>
      <c r="U14" s="1">
        <v>24400</v>
      </c>
      <c r="V14" s="1">
        <v>24400</v>
      </c>
    </row>
    <row r="15" spans="1:143" x14ac:dyDescent="0.2">
      <c r="B15" s="1" t="s">
        <v>20</v>
      </c>
      <c r="O15" s="4">
        <f>O13/O14</f>
        <v>0.22820103709613082</v>
      </c>
      <c r="P15" s="4">
        <f>P13/P14</f>
        <v>1.1932638331996792</v>
      </c>
      <c r="Q15" s="4">
        <f>Q13/Q14</f>
        <v>2.9868852459016395</v>
      </c>
      <c r="R15" s="4">
        <f t="shared" ref="R15:V15" si="22">R13/R14</f>
        <v>4.2997936300267314</v>
      </c>
      <c r="S15" s="4">
        <f t="shared" si="22"/>
        <v>5.7563227779143844</v>
      </c>
      <c r="T15" s="4">
        <f t="shared" si="22"/>
        <v>7.7149592459786609</v>
      </c>
      <c r="U15" s="4">
        <f t="shared" si="22"/>
        <v>10.349185901868312</v>
      </c>
      <c r="V15" s="4">
        <f t="shared" si="22"/>
        <v>13.892434474597646</v>
      </c>
      <c r="X15" s="1" t="s">
        <v>33</v>
      </c>
      <c r="Y15" s="6">
        <v>7.0000000000000007E-2</v>
      </c>
    </row>
    <row r="16" spans="1:143" x14ac:dyDescent="0.2">
      <c r="O16" s="5"/>
      <c r="P16" s="5"/>
      <c r="Q16" s="5"/>
      <c r="R16" s="5"/>
      <c r="S16" s="5"/>
      <c r="T16" s="5"/>
      <c r="U16" s="5"/>
      <c r="V16" s="5"/>
      <c r="X16" s="1" t="s">
        <v>32</v>
      </c>
      <c r="Y16" s="6">
        <v>0.03</v>
      </c>
    </row>
    <row r="17" spans="1:25" s="3" customFormat="1" ht="15" x14ac:dyDescent="0.25">
      <c r="B17" s="3" t="s">
        <v>21</v>
      </c>
      <c r="M17" s="7" t="e">
        <f>M2/L2-1</f>
        <v>#DIV/0!</v>
      </c>
      <c r="N17" s="7" t="e">
        <f>N2/M2-1</f>
        <v>#DIV/0!</v>
      </c>
      <c r="O17" s="7" t="e">
        <f>O2/N2-1</f>
        <v>#DIV/0!</v>
      </c>
      <c r="P17" s="7">
        <f>P2/O2-1</f>
        <v>1.2585452658115224</v>
      </c>
      <c r="Q17" s="7">
        <f t="shared" ref="Q17:V17" si="23">Q2/P2-1</f>
        <v>1.1420340763599355</v>
      </c>
      <c r="R17" s="7">
        <f t="shared" si="23"/>
        <v>0.53260228204479798</v>
      </c>
      <c r="S17" s="7">
        <f t="shared" si="23"/>
        <v>0.33000000000000007</v>
      </c>
      <c r="T17" s="7">
        <f t="shared" si="23"/>
        <v>0.33000000000000007</v>
      </c>
      <c r="U17" s="7">
        <f t="shared" si="23"/>
        <v>0.33000000000000007</v>
      </c>
      <c r="V17" s="7">
        <f t="shared" si="23"/>
        <v>0.33000000000000007</v>
      </c>
      <c r="X17" s="1" t="s">
        <v>34</v>
      </c>
      <c r="Y17" s="6">
        <v>9.5000000000000001E-2</v>
      </c>
    </row>
    <row r="18" spans="1:25" x14ac:dyDescent="0.2">
      <c r="B18" s="1" t="s">
        <v>22</v>
      </c>
      <c r="G18" s="5">
        <f>G2/F2-1</f>
        <v>9.4147582697200916E-2</v>
      </c>
      <c r="H18" s="5">
        <f t="shared" ref="H18:J18" si="24">H2/G2-1</f>
        <v>9.000000000000008E-2</v>
      </c>
      <c r="I18" s="5">
        <f t="shared" si="24"/>
        <v>9.000000000000008E-2</v>
      </c>
      <c r="J18" s="5">
        <f t="shared" si="24"/>
        <v>9.000000000000008E-2</v>
      </c>
      <c r="X18" s="1" t="s">
        <v>31</v>
      </c>
      <c r="Y18" s="1">
        <f>NPV(Y17,R13:EM13)+main!D5-main!D6</f>
        <v>4187827.4901417829</v>
      </c>
    </row>
    <row r="19" spans="1:25" x14ac:dyDescent="0.2">
      <c r="B19" s="1" t="s">
        <v>36</v>
      </c>
      <c r="M19" s="5" t="e">
        <f>M12/M11</f>
        <v>#DIV/0!</v>
      </c>
      <c r="N19" s="5" t="e">
        <f t="shared" ref="N19:Q19" si="25">N12/N11</f>
        <v>#DIV/0!</v>
      </c>
      <c r="O19" s="5">
        <f t="shared" si="25"/>
        <v>-3.379110950487893E-2</v>
      </c>
      <c r="P19" s="5">
        <f t="shared" si="25"/>
        <v>0.1199952687917677</v>
      </c>
      <c r="Q19" s="5">
        <f t="shared" si="25"/>
        <v>0.13264941803727417</v>
      </c>
      <c r="R19" s="5">
        <v>0.19</v>
      </c>
      <c r="S19" s="5">
        <v>0.19</v>
      </c>
      <c r="T19" s="5">
        <v>0.19</v>
      </c>
      <c r="U19" s="5">
        <v>0.19</v>
      </c>
      <c r="V19" s="5">
        <v>0.19</v>
      </c>
      <c r="X19" s="1" t="s">
        <v>1</v>
      </c>
      <c r="Y19" s="1">
        <f>Y18/main!D3</f>
        <v>171.63227418613863</v>
      </c>
    </row>
    <row r="20" spans="1:25" x14ac:dyDescent="0.2">
      <c r="X20" s="1" t="s">
        <v>35</v>
      </c>
      <c r="Y20" s="5">
        <f>Y19/main!D2-1</f>
        <v>0.27135017915658244</v>
      </c>
    </row>
    <row r="21" spans="1:25" s="3" customFormat="1" ht="15" x14ac:dyDescent="0.25">
      <c r="B21" s="3" t="s">
        <v>23</v>
      </c>
      <c r="M21" s="7" t="e">
        <f>M4/M2</f>
        <v>#DIV/0!</v>
      </c>
      <c r="N21" s="7" t="e">
        <f>N4/N2</f>
        <v>#DIV/0!</v>
      </c>
      <c r="O21" s="7">
        <f>O4/O2</f>
        <v>0.56928894490991322</v>
      </c>
      <c r="P21" s="7">
        <f t="shared" ref="P21:Q21" si="26">P4/P2</f>
        <v>0.72717573290436954</v>
      </c>
      <c r="Q21" s="7">
        <f t="shared" si="26"/>
        <v>0.74988697058169917</v>
      </c>
      <c r="R21" s="7">
        <f>Q21*1.01</f>
        <v>0.75738584028751621</v>
      </c>
      <c r="S21" s="7">
        <f t="shared" ref="S21:V21" si="27">R21*1.01</f>
        <v>0.76495969869039138</v>
      </c>
      <c r="T21" s="7">
        <f t="shared" si="27"/>
        <v>0.7726092956772953</v>
      </c>
      <c r="U21" s="7">
        <f t="shared" si="27"/>
        <v>0.78033538863406826</v>
      </c>
      <c r="V21" s="7">
        <f t="shared" si="27"/>
        <v>0.78813874252040894</v>
      </c>
    </row>
    <row r="22" spans="1:25" ht="15" x14ac:dyDescent="0.25">
      <c r="A22" s="3"/>
      <c r="B22" s="1" t="s">
        <v>42</v>
      </c>
      <c r="M22" s="5"/>
      <c r="N22" s="5"/>
      <c r="O22" s="5">
        <f>O8/O2</f>
        <v>0.20675465262845702</v>
      </c>
      <c r="P22" s="5">
        <f t="shared" ref="P22:V22" si="28">P8/P2</f>
        <v>0.54121663766783756</v>
      </c>
      <c r="Q22" s="5">
        <f t="shared" si="28"/>
        <v>0.62417526839697468</v>
      </c>
      <c r="R22" s="5">
        <f t="shared" si="28"/>
        <v>0.6316741381027916</v>
      </c>
      <c r="S22" s="5">
        <f t="shared" si="28"/>
        <v>0.63924799650566677</v>
      </c>
      <c r="T22" s="5">
        <f t="shared" si="28"/>
        <v>0.6468975934925707</v>
      </c>
      <c r="U22" s="5">
        <f t="shared" si="28"/>
        <v>0.65462368644934366</v>
      </c>
      <c r="V22" s="5">
        <f t="shared" si="28"/>
        <v>0.66242704033568434</v>
      </c>
    </row>
    <row r="23" spans="1:25" s="3" customFormat="1" ht="15" x14ac:dyDescent="0.25">
      <c r="B23" s="1" t="s">
        <v>49</v>
      </c>
      <c r="M23" s="7"/>
      <c r="N23" s="7"/>
      <c r="O23" s="5">
        <f>O7/O2</f>
        <v>0.36253429228145623</v>
      </c>
      <c r="P23" s="5">
        <f t="shared" ref="P23:V23" si="29">P7/P2</f>
        <v>0.18595909523653195</v>
      </c>
      <c r="Q23" s="5">
        <f t="shared" si="29"/>
        <v>0.12571170218472455</v>
      </c>
      <c r="R23" s="5">
        <f t="shared" si="29"/>
        <v>0.12571170218472455</v>
      </c>
      <c r="S23" s="5">
        <f t="shared" si="29"/>
        <v>0.12571170218472455</v>
      </c>
      <c r="T23" s="5">
        <f t="shared" si="29"/>
        <v>0.12571170218472458</v>
      </c>
      <c r="U23" s="5">
        <f t="shared" si="29"/>
        <v>0.12571170218472458</v>
      </c>
      <c r="V23" s="5">
        <f t="shared" si="29"/>
        <v>0.12571170218472458</v>
      </c>
    </row>
    <row r="24" spans="1:25" s="3" customFormat="1" ht="15" x14ac:dyDescent="0.25">
      <c r="B24" s="1" t="s">
        <v>50</v>
      </c>
      <c r="M24" s="7"/>
      <c r="N24" s="7"/>
      <c r="O24" s="7"/>
      <c r="P24" s="7"/>
      <c r="Q24" s="7"/>
      <c r="R24" s="7"/>
      <c r="S24" s="7"/>
      <c r="T24" s="7"/>
      <c r="U24" s="7"/>
      <c r="V24" s="7"/>
    </row>
    <row r="26" spans="1:25" x14ac:dyDescent="0.2">
      <c r="B26" s="1" t="s">
        <v>28</v>
      </c>
      <c r="Q26" s="1">
        <f>Q30-Q34</f>
        <v>30502</v>
      </c>
      <c r="R26" s="1">
        <f>Q26+R9</f>
        <v>32637.14</v>
      </c>
      <c r="S26" s="1">
        <f>R26+S9</f>
        <v>34921.739799999996</v>
      </c>
      <c r="T26" s="1">
        <f>S26+T9</f>
        <v>37366.261585999993</v>
      </c>
      <c r="U26" s="1">
        <f>T26+U9</f>
        <v>39981.89989701999</v>
      </c>
      <c r="V26" s="1">
        <f>U26+V9</f>
        <v>42780.632889811386</v>
      </c>
    </row>
    <row r="27" spans="1:25" x14ac:dyDescent="0.2">
      <c r="R27" s="5"/>
      <c r="S27" s="5"/>
      <c r="T27" s="5"/>
      <c r="U27" s="5"/>
      <c r="V27" s="5"/>
    </row>
    <row r="28" spans="1:25" x14ac:dyDescent="0.2">
      <c r="B28" s="1" t="s">
        <v>37</v>
      </c>
      <c r="M28" s="1">
        <f>M13</f>
        <v>0</v>
      </c>
      <c r="N28" s="1">
        <f t="shared" ref="N28:V28" si="30">N13</f>
        <v>0</v>
      </c>
      <c r="O28" s="1">
        <f t="shared" si="30"/>
        <v>5721</v>
      </c>
      <c r="P28" s="1">
        <f t="shared" si="30"/>
        <v>29760</v>
      </c>
      <c r="Q28" s="1">
        <f t="shared" si="30"/>
        <v>72880</v>
      </c>
      <c r="R28" s="1">
        <f t="shared" si="30"/>
        <v>104914.96457265224</v>
      </c>
      <c r="S28" s="1">
        <f t="shared" si="30"/>
        <v>140454.27578111098</v>
      </c>
      <c r="T28" s="1">
        <f t="shared" si="30"/>
        <v>188245.00560187933</v>
      </c>
      <c r="U28" s="1">
        <f t="shared" si="30"/>
        <v>252520.1360055868</v>
      </c>
      <c r="V28" s="1">
        <f t="shared" si="30"/>
        <v>338975.40118018258</v>
      </c>
    </row>
    <row r="29" spans="1:25" x14ac:dyDescent="0.2">
      <c r="B29" s="1" t="s">
        <v>38</v>
      </c>
      <c r="O29" s="1">
        <v>4368</v>
      </c>
      <c r="P29" s="1">
        <v>29760</v>
      </c>
      <c r="Q29" s="1">
        <v>72880</v>
      </c>
    </row>
    <row r="30" spans="1:25" x14ac:dyDescent="0.2">
      <c r="B30" s="1" t="s">
        <v>4</v>
      </c>
      <c r="Q30" s="1">
        <f>8589+34621</f>
        <v>43210</v>
      </c>
    </row>
    <row r="31" spans="1:25" x14ac:dyDescent="0.2">
      <c r="B31" s="1" t="s">
        <v>29</v>
      </c>
    </row>
    <row r="33" spans="2:17" x14ac:dyDescent="0.2">
      <c r="B33" s="1" t="s">
        <v>30</v>
      </c>
    </row>
    <row r="34" spans="2:17" x14ac:dyDescent="0.2">
      <c r="B34" s="1" t="s">
        <v>5</v>
      </c>
      <c r="Q34" s="1">
        <f>8463+4245</f>
        <v>12708</v>
      </c>
    </row>
  </sheetData>
  <hyperlinks>
    <hyperlink ref="A1" location="Sheet1!A1" display="Main" xr:uid="{B4B00122-8A85-4496-941B-16C16C07E4D3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2025-04-07T17:41:16Z</dcterms:created>
  <dcterms:modified xsi:type="dcterms:W3CDTF">2025-05-14T22:10:28Z</dcterms:modified>
</cp:coreProperties>
</file>