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A4ADAFEA-2050-46B8-9550-F1818E87B9BE}" xr6:coauthVersionLast="47" xr6:coauthVersionMax="47" xr10:uidLastSave="{00000000-0000-0000-0000-000000000000}"/>
  <bookViews>
    <workbookView xWindow="-105" yWindow="0" windowWidth="14610" windowHeight="15585" activeTab="1" xr2:uid="{DF0DB4ED-CAE9-4E97-ABC6-569A6BB0DC79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" i="2" l="1"/>
  <c r="V7" i="2"/>
  <c r="W49" i="2"/>
  <c r="X49" i="2" s="1"/>
  <c r="Y49" i="2" s="1"/>
  <c r="Z49" i="2" s="1"/>
  <c r="S20" i="2"/>
  <c r="W27" i="2"/>
  <c r="X27" i="2" s="1"/>
  <c r="Y27" i="2" s="1"/>
  <c r="Z27" i="2" s="1"/>
  <c r="D31" i="2"/>
  <c r="E31" i="2"/>
  <c r="F31" i="2"/>
  <c r="D35" i="2"/>
  <c r="E35" i="2"/>
  <c r="F35" i="2"/>
  <c r="C35" i="2"/>
  <c r="C31" i="2"/>
  <c r="K27" i="2"/>
  <c r="L27" i="2" s="1"/>
  <c r="M27" i="2" s="1"/>
  <c r="N27" i="2" s="1"/>
  <c r="J19" i="2"/>
  <c r="T20" i="2"/>
  <c r="I20" i="2"/>
  <c r="W14" i="2"/>
  <c r="X14" i="2" s="1"/>
  <c r="Y14" i="2" s="1"/>
  <c r="Z14" i="2" s="1"/>
  <c r="W15" i="2"/>
  <c r="X15" i="2" s="1"/>
  <c r="Y15" i="2" s="1"/>
  <c r="Z15" i="2" s="1"/>
  <c r="W16" i="2"/>
  <c r="X16" i="2" s="1"/>
  <c r="Y16" i="2" s="1"/>
  <c r="Z16" i="2" s="1"/>
  <c r="W17" i="2"/>
  <c r="X17" i="2" s="1"/>
  <c r="Y17" i="2" s="1"/>
  <c r="Z17" i="2" s="1"/>
  <c r="V13" i="2"/>
  <c r="S18" i="2"/>
  <c r="T18" i="2"/>
  <c r="Z29" i="2" l="1"/>
  <c r="W29" i="2"/>
  <c r="V29" i="2"/>
  <c r="V30" i="2" s="1"/>
  <c r="V31" i="2" s="1"/>
  <c r="V18" i="2"/>
  <c r="X29" i="2"/>
  <c r="Y29" i="2"/>
  <c r="Z30" i="2"/>
  <c r="Z31" i="2" s="1"/>
  <c r="W30" i="2"/>
  <c r="W31" i="2" s="1"/>
  <c r="V20" i="2"/>
  <c r="C36" i="2"/>
  <c r="C39" i="2" s="1"/>
  <c r="C41" i="2" s="1"/>
  <c r="C43" i="2" s="1"/>
  <c r="F36" i="2"/>
  <c r="F39" i="2" s="1"/>
  <c r="F41" i="2" s="1"/>
  <c r="F43" i="2" s="1"/>
  <c r="E36" i="2"/>
  <c r="E39" i="2" s="1"/>
  <c r="E41" i="2" s="1"/>
  <c r="E43" i="2" s="1"/>
  <c r="D36" i="2"/>
  <c r="D39" i="2" s="1"/>
  <c r="D41" i="2" s="1"/>
  <c r="D43" i="2" s="1"/>
  <c r="W13" i="2"/>
  <c r="Z13" i="2"/>
  <c r="Y13" i="2"/>
  <c r="X13" i="2"/>
  <c r="U42" i="2"/>
  <c r="U67" i="2"/>
  <c r="U68" i="2"/>
  <c r="U69" i="2"/>
  <c r="U70" i="2"/>
  <c r="U71" i="2"/>
  <c r="U72" i="2"/>
  <c r="U73" i="2"/>
  <c r="U74" i="2"/>
  <c r="U66" i="2"/>
  <c r="U58" i="2"/>
  <c r="U59" i="2"/>
  <c r="U60" i="2"/>
  <c r="U61" i="2"/>
  <c r="U62" i="2"/>
  <c r="U63" i="2"/>
  <c r="U57" i="2"/>
  <c r="U55" i="2"/>
  <c r="U54" i="2"/>
  <c r="U37" i="2"/>
  <c r="D51" i="2"/>
  <c r="E51" i="2"/>
  <c r="F51" i="2"/>
  <c r="C51" i="2"/>
  <c r="I50" i="2"/>
  <c r="I46" i="2"/>
  <c r="F17" i="1"/>
  <c r="F15" i="1"/>
  <c r="E25" i="2"/>
  <c r="H25" i="2"/>
  <c r="D101" i="2"/>
  <c r="E101" i="2"/>
  <c r="F101" i="2"/>
  <c r="G101" i="2"/>
  <c r="H101" i="2"/>
  <c r="I101" i="2"/>
  <c r="K101" i="2"/>
  <c r="L101" i="2"/>
  <c r="M101" i="2"/>
  <c r="N101" i="2"/>
  <c r="C101" i="2"/>
  <c r="D97" i="2"/>
  <c r="E97" i="2"/>
  <c r="F97" i="2"/>
  <c r="G97" i="2"/>
  <c r="H97" i="2"/>
  <c r="C97" i="2"/>
  <c r="I97" i="2"/>
  <c r="D79" i="2"/>
  <c r="E79" i="2"/>
  <c r="F79" i="2"/>
  <c r="G79" i="2"/>
  <c r="H79" i="2"/>
  <c r="I79" i="2"/>
  <c r="J79" i="2"/>
  <c r="C79" i="2"/>
  <c r="I54" i="2"/>
  <c r="I55" i="2"/>
  <c r="H55" i="2"/>
  <c r="H54" i="2"/>
  <c r="T54" i="2"/>
  <c r="T55" i="2"/>
  <c r="S101" i="2"/>
  <c r="T101" i="2"/>
  <c r="R101" i="2"/>
  <c r="S97" i="2"/>
  <c r="T97" i="2"/>
  <c r="R97" i="2"/>
  <c r="Q79" i="2"/>
  <c r="R79" i="2"/>
  <c r="P79" i="2"/>
  <c r="T79" i="2"/>
  <c r="S79" i="2"/>
  <c r="S55" i="2"/>
  <c r="S54" i="2"/>
  <c r="Q64" i="2"/>
  <c r="R64" i="2"/>
  <c r="S64" i="2"/>
  <c r="T64" i="2"/>
  <c r="V64" i="2"/>
  <c r="W64" i="2"/>
  <c r="X64" i="2"/>
  <c r="Y64" i="2"/>
  <c r="Z64" i="2"/>
  <c r="Q75" i="2"/>
  <c r="R75" i="2"/>
  <c r="S75" i="2"/>
  <c r="T75" i="2"/>
  <c r="V75" i="2"/>
  <c r="W75" i="2"/>
  <c r="X75" i="2"/>
  <c r="Y75" i="2"/>
  <c r="Z75" i="2"/>
  <c r="P75" i="2"/>
  <c r="P64" i="2"/>
  <c r="D64" i="2"/>
  <c r="E64" i="2"/>
  <c r="F64" i="2"/>
  <c r="G64" i="2"/>
  <c r="H64" i="2"/>
  <c r="I64" i="2"/>
  <c r="J64" i="2"/>
  <c r="K64" i="2"/>
  <c r="L64" i="2"/>
  <c r="M64" i="2"/>
  <c r="N64" i="2"/>
  <c r="D75" i="2"/>
  <c r="E75" i="2"/>
  <c r="F75" i="2"/>
  <c r="G75" i="2"/>
  <c r="H75" i="2"/>
  <c r="I75" i="2"/>
  <c r="J75" i="2"/>
  <c r="K75" i="2"/>
  <c r="L75" i="2"/>
  <c r="M75" i="2"/>
  <c r="N75" i="2"/>
  <c r="C64" i="2"/>
  <c r="C75" i="2"/>
  <c r="U27" i="2"/>
  <c r="U20" i="2" s="1"/>
  <c r="J30" i="2"/>
  <c r="U30" i="2" s="1"/>
  <c r="U31" i="2" s="1"/>
  <c r="Q31" i="2"/>
  <c r="R31" i="2"/>
  <c r="Q35" i="2"/>
  <c r="Q51" i="2" s="1"/>
  <c r="R35" i="2"/>
  <c r="R51" i="2" s="1"/>
  <c r="P35" i="2"/>
  <c r="P51" i="2" s="1"/>
  <c r="P31" i="2"/>
  <c r="P49" i="2" s="1"/>
  <c r="R45" i="2"/>
  <c r="S45" i="2"/>
  <c r="Q45" i="2"/>
  <c r="C50" i="2"/>
  <c r="D50" i="2"/>
  <c r="E50" i="2"/>
  <c r="F50" i="2"/>
  <c r="C49" i="2"/>
  <c r="D49" i="2"/>
  <c r="E49" i="2"/>
  <c r="F49" i="2"/>
  <c r="D46" i="2"/>
  <c r="E46" i="2"/>
  <c r="F46" i="2"/>
  <c r="G46" i="2"/>
  <c r="G45" i="2"/>
  <c r="H45" i="2"/>
  <c r="I45" i="2"/>
  <c r="J45" i="2"/>
  <c r="S50" i="2"/>
  <c r="T50" i="2"/>
  <c r="H46" i="2"/>
  <c r="T45" i="2"/>
  <c r="S35" i="2"/>
  <c r="S51" i="2" s="1"/>
  <c r="S31" i="2"/>
  <c r="S49" i="2" s="1"/>
  <c r="T31" i="2"/>
  <c r="T49" i="2" s="1"/>
  <c r="T35" i="2"/>
  <c r="T51" i="2" s="1"/>
  <c r="G50" i="2"/>
  <c r="G35" i="2"/>
  <c r="G51" i="2" s="1"/>
  <c r="G31" i="2"/>
  <c r="G49" i="2" s="1"/>
  <c r="H50" i="2"/>
  <c r="H35" i="2"/>
  <c r="H51" i="2" s="1"/>
  <c r="H31" i="2"/>
  <c r="H49" i="2" s="1"/>
  <c r="U1" i="2"/>
  <c r="V1" i="2" s="1"/>
  <c r="W1" i="2" s="1"/>
  <c r="X1" i="2" s="1"/>
  <c r="Y1" i="2" s="1"/>
  <c r="Z1" i="2" s="1"/>
  <c r="AA1" i="2" s="1"/>
  <c r="AB1" i="2" s="1"/>
  <c r="AC1" i="2" s="1"/>
  <c r="AD1" i="2" s="1"/>
  <c r="AE1" i="2" s="1"/>
  <c r="C47" i="2" l="1"/>
  <c r="F47" i="2"/>
  <c r="D47" i="2"/>
  <c r="C81" i="2"/>
  <c r="F81" i="2"/>
  <c r="D81" i="2"/>
  <c r="V45" i="2"/>
  <c r="Y45" i="2"/>
  <c r="X30" i="2"/>
  <c r="X45" i="2"/>
  <c r="Y30" i="2"/>
  <c r="Y31" i="2" s="1"/>
  <c r="W45" i="2"/>
  <c r="Z45" i="2"/>
  <c r="X31" i="2"/>
  <c r="E81" i="2"/>
  <c r="E47" i="2"/>
  <c r="L79" i="2"/>
  <c r="U50" i="2"/>
  <c r="U18" i="2"/>
  <c r="F18" i="1"/>
  <c r="F102" i="2"/>
  <c r="E102" i="2"/>
  <c r="D102" i="2"/>
  <c r="P76" i="2"/>
  <c r="P77" i="2" s="1"/>
  <c r="U75" i="2"/>
  <c r="U64" i="2"/>
  <c r="U76" i="2" s="1"/>
  <c r="U77" i="2" s="1"/>
  <c r="I53" i="2"/>
  <c r="U49" i="2"/>
  <c r="U79" i="2"/>
  <c r="G102" i="2"/>
  <c r="H102" i="2"/>
  <c r="H53" i="2"/>
  <c r="N76" i="2"/>
  <c r="N77" i="2" s="1"/>
  <c r="M76" i="2"/>
  <c r="M77" i="2" s="1"/>
  <c r="I102" i="2"/>
  <c r="C102" i="2"/>
  <c r="T53" i="2"/>
  <c r="L76" i="2"/>
  <c r="L77" i="2" s="1"/>
  <c r="Z76" i="2"/>
  <c r="Z77" i="2" s="1"/>
  <c r="K79" i="2"/>
  <c r="K76" i="2"/>
  <c r="K77" i="2" s="1"/>
  <c r="Y76" i="2"/>
  <c r="Y77" i="2" s="1"/>
  <c r="Q76" i="2"/>
  <c r="Q77" i="2" s="1"/>
  <c r="S102" i="2"/>
  <c r="J76" i="2"/>
  <c r="J77" i="2" s="1"/>
  <c r="X76" i="2"/>
  <c r="X77" i="2" s="1"/>
  <c r="R102" i="2"/>
  <c r="T102" i="2"/>
  <c r="W76" i="2"/>
  <c r="W77" i="2" s="1"/>
  <c r="I76" i="2"/>
  <c r="I77" i="2" s="1"/>
  <c r="E76" i="2"/>
  <c r="E77" i="2" s="1"/>
  <c r="R76" i="2"/>
  <c r="R77" i="2" s="1"/>
  <c r="C76" i="2"/>
  <c r="C77" i="2" s="1"/>
  <c r="T76" i="2"/>
  <c r="T77" i="2" s="1"/>
  <c r="S76" i="2"/>
  <c r="S77" i="2" s="1"/>
  <c r="V76" i="2"/>
  <c r="V77" i="2" s="1"/>
  <c r="H76" i="2"/>
  <c r="H77" i="2" s="1"/>
  <c r="G76" i="2"/>
  <c r="G77" i="2" s="1"/>
  <c r="F76" i="2"/>
  <c r="F77" i="2" s="1"/>
  <c r="D76" i="2"/>
  <c r="D77" i="2" s="1"/>
  <c r="L30" i="2"/>
  <c r="R36" i="2"/>
  <c r="R39" i="2" s="1"/>
  <c r="R41" i="2" s="1"/>
  <c r="Q36" i="2"/>
  <c r="Q39" i="2" s="1"/>
  <c r="Q41" i="2" s="1"/>
  <c r="Q49" i="2"/>
  <c r="R49" i="2"/>
  <c r="K30" i="2"/>
  <c r="P36" i="2"/>
  <c r="S36" i="2"/>
  <c r="G36" i="2"/>
  <c r="T36" i="2"/>
  <c r="H36" i="2"/>
  <c r="M79" i="2" l="1"/>
  <c r="O27" i="2"/>
  <c r="Q47" i="2"/>
  <c r="R47" i="2"/>
  <c r="V79" i="2"/>
  <c r="R50" i="2"/>
  <c r="R81" i="2"/>
  <c r="M30" i="2"/>
  <c r="M31" i="2" s="1"/>
  <c r="M45" i="2"/>
  <c r="M46" i="2"/>
  <c r="N79" i="2"/>
  <c r="Q43" i="2"/>
  <c r="R43" i="2"/>
  <c r="P39" i="2"/>
  <c r="P41" i="2" s="1"/>
  <c r="P43" i="2" s="1"/>
  <c r="P47" i="2"/>
  <c r="I31" i="2"/>
  <c r="I49" i="2" s="1"/>
  <c r="H39" i="2"/>
  <c r="H41" i="2" s="1"/>
  <c r="H81" i="2" s="1"/>
  <c r="H47" i="2"/>
  <c r="G39" i="2"/>
  <c r="G41" i="2" s="1"/>
  <c r="G47" i="2"/>
  <c r="S39" i="2"/>
  <c r="S41" i="2" s="1"/>
  <c r="S47" i="2"/>
  <c r="J46" i="2"/>
  <c r="J32" i="2" s="1"/>
  <c r="T39" i="2"/>
  <c r="T41" i="2" s="1"/>
  <c r="T81" i="2" s="1"/>
  <c r="T47" i="2"/>
  <c r="U32" i="2" l="1"/>
  <c r="K32" i="2"/>
  <c r="L32" i="2" s="1"/>
  <c r="M32" i="2" s="1"/>
  <c r="N32" i="2" s="1"/>
  <c r="G43" i="2"/>
  <c r="G81" i="2"/>
  <c r="S43" i="2"/>
  <c r="S81" i="2"/>
  <c r="N30" i="2"/>
  <c r="N31" i="2" s="1"/>
  <c r="N45" i="2"/>
  <c r="N46" i="2"/>
  <c r="H43" i="2"/>
  <c r="J34" i="2"/>
  <c r="U34" i="2" s="1"/>
  <c r="J31" i="2"/>
  <c r="I35" i="2"/>
  <c r="J33" i="2"/>
  <c r="U33" i="2" s="1"/>
  <c r="T43" i="2"/>
  <c r="K45" i="2"/>
  <c r="K46" i="2"/>
  <c r="I36" i="2" l="1"/>
  <c r="I47" i="2" s="1"/>
  <c r="I51" i="2"/>
  <c r="U35" i="2"/>
  <c r="U45" i="2"/>
  <c r="U98" i="2" s="1"/>
  <c r="K33" i="2"/>
  <c r="J35" i="2"/>
  <c r="J51" i="2" s="1"/>
  <c r="K31" i="2"/>
  <c r="K34" i="2"/>
  <c r="L45" i="2"/>
  <c r="L46" i="2"/>
  <c r="V98" i="2" l="1"/>
  <c r="U101" i="2"/>
  <c r="J36" i="2"/>
  <c r="I39" i="2"/>
  <c r="I41" i="2" s="1"/>
  <c r="I43" i="2" s="1"/>
  <c r="U51" i="2"/>
  <c r="U36" i="2"/>
  <c r="V34" i="2"/>
  <c r="V33" i="2"/>
  <c r="L34" i="2"/>
  <c r="M34" i="2" s="1"/>
  <c r="N34" i="2" s="1"/>
  <c r="L33" i="2"/>
  <c r="M33" i="2" s="1"/>
  <c r="K35" i="2"/>
  <c r="L31" i="2"/>
  <c r="W98" i="2" l="1"/>
  <c r="V101" i="2"/>
  <c r="K36" i="2"/>
  <c r="K51" i="2"/>
  <c r="J38" i="2"/>
  <c r="U38" i="2" s="1"/>
  <c r="U39" i="2" s="1"/>
  <c r="I81" i="2"/>
  <c r="N33" i="2"/>
  <c r="N35" i="2" s="1"/>
  <c r="M35" i="2"/>
  <c r="J39" i="2"/>
  <c r="V32" i="2"/>
  <c r="L35" i="2"/>
  <c r="X98" i="2" l="1"/>
  <c r="W101" i="2"/>
  <c r="J40" i="2"/>
  <c r="U40" i="2" s="1"/>
  <c r="U47" i="2" s="1"/>
  <c r="L36" i="2"/>
  <c r="L51" i="2"/>
  <c r="M36" i="2"/>
  <c r="M51" i="2"/>
  <c r="N36" i="2"/>
  <c r="N51" i="2"/>
  <c r="V35" i="2"/>
  <c r="V51" i="2" s="1"/>
  <c r="Y98" i="2" l="1"/>
  <c r="X101" i="2"/>
  <c r="J41" i="2"/>
  <c r="U41" i="2"/>
  <c r="U43" i="2" s="1"/>
  <c r="Z98" i="2" l="1"/>
  <c r="Z101" i="2" s="1"/>
  <c r="Y101" i="2"/>
  <c r="J81" i="2"/>
  <c r="J97" i="2" s="1"/>
  <c r="J102" i="2" s="1"/>
  <c r="J43" i="2"/>
  <c r="J53" i="2"/>
  <c r="U53" i="2" l="1"/>
  <c r="K38" i="2"/>
  <c r="K39" i="2" s="1"/>
  <c r="K40" i="2" s="1"/>
  <c r="K41" i="2" s="1"/>
  <c r="K81" i="2" s="1"/>
  <c r="K97" i="2" s="1"/>
  <c r="K102" i="2" s="1"/>
  <c r="K53" i="2" l="1"/>
  <c r="L38" i="2" s="1"/>
  <c r="L39" i="2" s="1"/>
  <c r="L40" i="2" s="1"/>
  <c r="L41" i="2" s="1"/>
  <c r="K43" i="2"/>
  <c r="U81" i="2"/>
  <c r="U97" i="2" s="1"/>
  <c r="U102" i="2" s="1"/>
  <c r="V36" i="2"/>
  <c r="V40" i="2" s="1"/>
  <c r="L81" i="2" l="1"/>
  <c r="L97" i="2" s="1"/>
  <c r="L102" i="2" s="1"/>
  <c r="L53" i="2"/>
  <c r="M38" i="2" s="1"/>
  <c r="M39" i="2" s="1"/>
  <c r="L43" i="2"/>
  <c r="V38" i="2"/>
  <c r="V39" i="2" s="1"/>
  <c r="V41" i="2" s="1"/>
  <c r="M40" i="2" l="1"/>
  <c r="M41" i="2" s="1"/>
  <c r="V81" i="2"/>
  <c r="V97" i="2" s="1"/>
  <c r="V102" i="2" s="1"/>
  <c r="V50" i="2"/>
  <c r="V43" i="2"/>
  <c r="V53" i="2"/>
  <c r="M81" i="2" l="1"/>
  <c r="M97" i="2" s="1"/>
  <c r="M102" i="2" s="1"/>
  <c r="M53" i="2"/>
  <c r="N38" i="2" s="1"/>
  <c r="N39" i="2" s="1"/>
  <c r="M43" i="2"/>
  <c r="W38" i="2"/>
  <c r="N40" i="2" l="1"/>
  <c r="N41" i="2" s="1"/>
  <c r="N81" i="2" l="1"/>
  <c r="N97" i="2" s="1"/>
  <c r="N102" i="2" s="1"/>
  <c r="N53" i="2"/>
  <c r="N43" i="2"/>
  <c r="W33" i="2"/>
  <c r="W50" i="2"/>
  <c r="W18" i="2"/>
  <c r="W79" i="2"/>
  <c r="W20" i="2"/>
  <c r="X79" i="2"/>
  <c r="W32" i="2" l="1"/>
  <c r="X50" i="2"/>
  <c r="X18" i="2"/>
  <c r="Y50" i="2"/>
  <c r="Y20" i="2"/>
  <c r="Y79" i="2"/>
  <c r="W34" i="2"/>
  <c r="Y18" i="2"/>
  <c r="X33" i="2"/>
  <c r="Y33" i="2" s="1"/>
  <c r="X20" i="2"/>
  <c r="Z18" i="2" l="1"/>
  <c r="Z79" i="2"/>
  <c r="Z20" i="2"/>
  <c r="Z33" i="2"/>
  <c r="Z50" i="2"/>
  <c r="X34" i="2"/>
  <c r="Y34" i="2" s="1"/>
  <c r="Z34" i="2" s="1"/>
  <c r="X32" i="2"/>
  <c r="W35" i="2"/>
  <c r="W36" i="2" l="1"/>
  <c r="W51" i="2"/>
  <c r="X35" i="2"/>
  <c r="Y32" i="2"/>
  <c r="X51" i="2" l="1"/>
  <c r="X36" i="2"/>
  <c r="Z32" i="2"/>
  <c r="Z35" i="2" s="1"/>
  <c r="Y35" i="2"/>
  <c r="W39" i="2"/>
  <c r="W40" i="2"/>
  <c r="W41" i="2" l="1"/>
  <c r="Y51" i="2"/>
  <c r="Y36" i="2"/>
  <c r="Z51" i="2"/>
  <c r="Z36" i="2"/>
  <c r="X40" i="2"/>
  <c r="Z40" i="2" l="1"/>
  <c r="Y40" i="2"/>
  <c r="W43" i="2"/>
  <c r="W53" i="2"/>
  <c r="W81" i="2"/>
  <c r="W97" i="2" s="1"/>
  <c r="W102" i="2" s="1"/>
  <c r="X38" i="2" l="1"/>
  <c r="X39" i="2" s="1"/>
  <c r="X41" i="2" s="1"/>
  <c r="X43" i="2" l="1"/>
  <c r="X81" i="2"/>
  <c r="X97" i="2" s="1"/>
  <c r="X102" i="2" s="1"/>
  <c r="X53" i="2"/>
  <c r="Y38" i="2" l="1"/>
  <c r="Y39" i="2" s="1"/>
  <c r="Y41" i="2" s="1"/>
  <c r="Y53" i="2" s="1"/>
  <c r="Z38" i="2" l="1"/>
  <c r="Z39" i="2" s="1"/>
  <c r="Z41" i="2" s="1"/>
  <c r="Y81" i="2"/>
  <c r="Y97" i="2" s="1"/>
  <c r="Y102" i="2" s="1"/>
  <c r="Y43" i="2"/>
  <c r="Z43" i="2" l="1"/>
  <c r="AA41" i="2"/>
  <c r="Z81" i="2"/>
  <c r="Z97" i="2" s="1"/>
  <c r="Z102" i="2" s="1"/>
  <c r="AA102" i="2" s="1"/>
  <c r="AB102" i="2" s="1"/>
  <c r="AC102" i="2" s="1"/>
  <c r="AD102" i="2" s="1"/>
  <c r="AE102" i="2" s="1"/>
  <c r="AF102" i="2" s="1"/>
  <c r="AG102" i="2" s="1"/>
  <c r="AH102" i="2" s="1"/>
  <c r="AI102" i="2" s="1"/>
  <c r="AJ102" i="2" s="1"/>
  <c r="AK102" i="2" s="1"/>
  <c r="AL102" i="2" s="1"/>
  <c r="AM102" i="2" s="1"/>
  <c r="AN102" i="2" s="1"/>
  <c r="AO102" i="2" s="1"/>
  <c r="AP102" i="2" s="1"/>
  <c r="AQ102" i="2" s="1"/>
  <c r="AR102" i="2" s="1"/>
  <c r="AS102" i="2" s="1"/>
  <c r="AT102" i="2" s="1"/>
  <c r="AU102" i="2" s="1"/>
  <c r="AV102" i="2" s="1"/>
  <c r="AW102" i="2" s="1"/>
  <c r="AX102" i="2" s="1"/>
  <c r="AY102" i="2" s="1"/>
  <c r="AZ102" i="2" s="1"/>
  <c r="BA102" i="2" s="1"/>
  <c r="BB102" i="2" s="1"/>
  <c r="BC102" i="2" s="1"/>
  <c r="BD102" i="2" s="1"/>
  <c r="BE102" i="2" s="1"/>
  <c r="BF102" i="2" s="1"/>
  <c r="BG102" i="2" s="1"/>
  <c r="BH102" i="2" s="1"/>
  <c r="BI102" i="2" s="1"/>
  <c r="BJ102" i="2" s="1"/>
  <c r="BK102" i="2" s="1"/>
  <c r="BL102" i="2" s="1"/>
  <c r="BM102" i="2" s="1"/>
  <c r="BN102" i="2" s="1"/>
  <c r="BO102" i="2" s="1"/>
  <c r="BP102" i="2" s="1"/>
  <c r="BQ102" i="2" s="1"/>
  <c r="BR102" i="2" s="1"/>
  <c r="BS102" i="2" s="1"/>
  <c r="BT102" i="2" s="1"/>
  <c r="BU102" i="2" s="1"/>
  <c r="BV102" i="2" s="1"/>
  <c r="BW102" i="2" s="1"/>
  <c r="BX102" i="2" s="1"/>
  <c r="BY102" i="2" s="1"/>
  <c r="BZ102" i="2" s="1"/>
  <c r="CA102" i="2" s="1"/>
  <c r="CB102" i="2" s="1"/>
  <c r="CC102" i="2" s="1"/>
  <c r="CD102" i="2" s="1"/>
  <c r="CE102" i="2" s="1"/>
  <c r="CF102" i="2" s="1"/>
  <c r="CG102" i="2" s="1"/>
  <c r="CH102" i="2" s="1"/>
  <c r="CI102" i="2" s="1"/>
  <c r="CJ102" i="2" s="1"/>
  <c r="CK102" i="2" s="1"/>
  <c r="CL102" i="2" s="1"/>
  <c r="CM102" i="2" s="1"/>
  <c r="CN102" i="2" s="1"/>
  <c r="CO102" i="2" s="1"/>
  <c r="CP102" i="2" s="1"/>
  <c r="CQ102" i="2" s="1"/>
  <c r="CR102" i="2" s="1"/>
  <c r="CS102" i="2" s="1"/>
  <c r="CT102" i="2" s="1"/>
  <c r="CU102" i="2" s="1"/>
  <c r="CV102" i="2" s="1"/>
  <c r="CW102" i="2" s="1"/>
  <c r="CX102" i="2" s="1"/>
  <c r="CY102" i="2" s="1"/>
  <c r="CZ102" i="2" s="1"/>
  <c r="DA102" i="2" s="1"/>
  <c r="DB102" i="2" s="1"/>
  <c r="DC102" i="2" s="1"/>
  <c r="DD102" i="2" s="1"/>
  <c r="DE102" i="2" s="1"/>
  <c r="DF102" i="2" s="1"/>
  <c r="DG102" i="2" s="1"/>
  <c r="DH102" i="2" s="1"/>
  <c r="DI102" i="2" s="1"/>
  <c r="DJ102" i="2" s="1"/>
  <c r="DK102" i="2" s="1"/>
  <c r="DL102" i="2" s="1"/>
  <c r="DM102" i="2" s="1"/>
  <c r="DN102" i="2" s="1"/>
  <c r="DO102" i="2" s="1"/>
  <c r="DP102" i="2" s="1"/>
  <c r="DQ102" i="2" s="1"/>
  <c r="DR102" i="2" s="1"/>
  <c r="Z53" i="2"/>
  <c r="AB41" i="2" l="1"/>
  <c r="AC41" i="2" s="1"/>
  <c r="AD41" i="2" s="1"/>
  <c r="AE41" i="2" s="1"/>
  <c r="AF41" i="2" s="1"/>
  <c r="AG41" i="2" s="1"/>
  <c r="AH41" i="2" s="1"/>
  <c r="AI41" i="2" s="1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BJ41" i="2" s="1"/>
  <c r="BK41" i="2" s="1"/>
  <c r="BL41" i="2" s="1"/>
  <c r="BM41" i="2" s="1"/>
  <c r="BN41" i="2" s="1"/>
  <c r="BO41" i="2" s="1"/>
  <c r="BP41" i="2" s="1"/>
  <c r="BQ41" i="2" s="1"/>
  <c r="BR41" i="2" s="1"/>
  <c r="BS41" i="2" s="1"/>
  <c r="BT41" i="2" s="1"/>
  <c r="BU41" i="2" s="1"/>
  <c r="BV41" i="2" s="1"/>
  <c r="BW41" i="2" s="1"/>
  <c r="BX41" i="2" s="1"/>
  <c r="BY41" i="2" s="1"/>
  <c r="BZ41" i="2" s="1"/>
  <c r="CA41" i="2" s="1"/>
  <c r="CB41" i="2" s="1"/>
  <c r="CC41" i="2" s="1"/>
  <c r="CD41" i="2" s="1"/>
  <c r="CE41" i="2" s="1"/>
  <c r="CF41" i="2" s="1"/>
  <c r="CG41" i="2" s="1"/>
  <c r="CH41" i="2" s="1"/>
  <c r="CI41" i="2" s="1"/>
  <c r="CJ41" i="2" s="1"/>
  <c r="CK41" i="2" s="1"/>
  <c r="CL41" i="2" s="1"/>
  <c r="CM41" i="2" s="1"/>
  <c r="CN41" i="2" s="1"/>
  <c r="AC48" i="2" l="1"/>
  <c r="AC49" i="2" s="1"/>
  <c r="AC5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tc={C2D78901-D1F4-4871-B5D4-B18265B433F7}</author>
  </authors>
  <commentList>
    <comment ref="B20" authorId="0" shapeId="0" xr:uid="{C2D78901-D1F4-4871-B5D4-B18265B433F7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https://www.bloomberg.com/news/articles/2024-08-06/super-micro-gives-strong-sales-outlook-on-ai-server-expansion
https://www.bloomberg.com/news/articles/2025-04-29/super-micro-plunges-after-its-prelimary-results-miss-estimates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tc={07B89E43-8E64-4D6B-81D7-37BC3D9CEEE2}</author>
    <author>tc={B928ADE7-8211-4D2F-BD8C-79ED22DF99E4}</author>
    <author>tc={45B433DF-6A70-443F-BD0E-B05A27CEBFAA}</author>
    <author>tc={DEC1EFA7-08CE-407F-80BC-3BD72A054B95}</author>
    <author>tc={518D6400-4738-48D4-8A7C-6A58D2E68831}</author>
    <author>tc={F447A70C-BFD1-47B1-8F98-8C7CAE49EF2E}</author>
    <author>tc={960D152D-CF0A-4D06-BBAA-48E55DA153B5}</author>
  </authors>
  <commentList>
    <comment ref="V13" authorId="0" shapeId="0" xr:uid="{07B89E43-8E64-4D6B-81D7-37BC3D9CEEE2}">
      <text>
        <t>[Threaded comment]
Your version of Excel allows you to read this threaded comment; however, any edits to it will get removed if the file is opened in a newer version of Excel. Learn more: https://go.microsoft.com/fwlink/?linkid=870924
Comment:
    Majority of this capex from these companies is from cloud</t>
      </text>
    </comment>
    <comment ref="V14" authorId="1" shapeId="0" xr:uid="{B928ADE7-8211-4D2F-BD8C-79ED22DF99E4}">
      <text>
        <t>[Threaded comment]
Your version of Excel allows you to read this threaded comment; however, any edits to it will get removed if the file is opened in a newer version of Excel. Learn more: https://go.microsoft.com/fwlink/?linkid=870924
Comment:
    “googl forecast for their FY25” mainly cloud capex</t>
      </text>
    </comment>
    <comment ref="I20" authorId="2" shapeId="0" xr:uid="{45B433DF-6A70-443F-BD0E-B05A27CEBFAA}">
      <text>
        <t>[Threaded comment]
Your version of Excel allows you to read this threaded comment; however, any edits to it will get removed if the file is opened in a newer version of Excel. Learn more: https://go.microsoft.com/fwlink/?linkid=870924
Comment:
    Outlier, mostly sold old inventory this quarter
Reply:
    Also Inventory increase by smci could be in preparation for blackwell server capex</t>
      </text>
    </comment>
    <comment ref="J27" authorId="3" shapeId="0" xr:uid="{DEC1EFA7-08CE-407F-80BC-3BD72A054B9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“Q4 Rev at least 6b”
</t>
      </text>
    </comment>
    <comment ref="J42" authorId="4" shapeId="0" xr:uid="{518D6400-4738-48D4-8A7C-6A58D2E68831}">
      <text>
        <t>[Threaded comment]
Your version of Excel allows you to read this threaded comment; however, any edits to it will get removed if the file is opened in a newer version of Excel. Learn more: https://go.microsoft.com/fwlink/?linkid=870924
Comment:
    “diluted share count”</t>
      </text>
    </comment>
    <comment ref="J47" authorId="5" shapeId="0" xr:uid="{F447A70C-BFD1-47B1-8F98-8C7CAE49EF2E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14.9% GAAP tax rate”</t>
      </text>
    </comment>
    <comment ref="J101" authorId="6" shapeId="0" xr:uid="{960D152D-CF0A-4D06-BBAA-48E55DA153B5}">
      <text>
        <t>[Threaded comment]
Your version of Excel allows you to read this threaded comment; however, any edits to it will get removed if the file is opened in a newer version of Excel. Learn more: https://go.microsoft.com/fwlink/?linkid=870924
Comment:
    “expect 45-55m”</t>
      </text>
    </comment>
  </commentList>
</comments>
</file>

<file path=xl/sharedStrings.xml><?xml version="1.0" encoding="utf-8"?>
<sst xmlns="http://schemas.openxmlformats.org/spreadsheetml/2006/main" count="137" uniqueCount="123">
  <si>
    <t>SMCI</t>
  </si>
  <si>
    <t>Price</t>
  </si>
  <si>
    <t>Shares</t>
  </si>
  <si>
    <t>MC</t>
  </si>
  <si>
    <t>Cash</t>
  </si>
  <si>
    <t>Debt</t>
  </si>
  <si>
    <t>EV</t>
  </si>
  <si>
    <t>Revenue</t>
  </si>
  <si>
    <t>Net Income</t>
  </si>
  <si>
    <t>Gross Margin</t>
  </si>
  <si>
    <t>Discount</t>
  </si>
  <si>
    <t>R&amp;D</t>
  </si>
  <si>
    <t>Maturity</t>
  </si>
  <si>
    <t>NPV</t>
  </si>
  <si>
    <t>Diff</t>
  </si>
  <si>
    <t>FCF</t>
  </si>
  <si>
    <t>CFFO</t>
  </si>
  <si>
    <t>Q125</t>
  </si>
  <si>
    <t>Q225</t>
  </si>
  <si>
    <t>Q325</t>
  </si>
  <si>
    <t>Q425</t>
  </si>
  <si>
    <t>COGS</t>
  </si>
  <si>
    <t>Gross Profit</t>
  </si>
  <si>
    <t>Revenue y/y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</si>
  <si>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</si>
  <si>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</si>
  <si>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</si>
  <si>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</si>
  <si>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</si>
  <si>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</si>
  <si>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</si>
  <si>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EPS</t>
  </si>
  <si>
    <t>Other Income</t>
  </si>
  <si>
    <t>FCF Margin</t>
  </si>
  <si>
    <t>Q126</t>
  </si>
  <si>
    <t>Q226</t>
  </si>
  <si>
    <t>notes:</t>
  </si>
  <si>
    <t>Tax Rate</t>
  </si>
  <si>
    <t>Revenue q/q</t>
  </si>
  <si>
    <t>Nvidia Blackwell in 2026 main revenue growth</t>
  </si>
  <si>
    <t>ROIC</t>
  </si>
  <si>
    <t>Net Cash</t>
  </si>
  <si>
    <t>Q124</t>
  </si>
  <si>
    <t>Q224</t>
  </si>
  <si>
    <t>Q324</t>
  </si>
  <si>
    <t>Q424</t>
  </si>
  <si>
    <t>Q326</t>
  </si>
  <si>
    <t>Q426</t>
  </si>
  <si>
    <t>Main</t>
  </si>
  <si>
    <t>OPEX Margin</t>
  </si>
  <si>
    <t>AR</t>
  </si>
  <si>
    <t>Inventories</t>
  </si>
  <si>
    <t>Prepaid Expenses</t>
  </si>
  <si>
    <t>PP&amp;E</t>
  </si>
  <si>
    <t>DIT</t>
  </si>
  <si>
    <t>Other Assets</t>
  </si>
  <si>
    <t>Assets</t>
  </si>
  <si>
    <t>AP</t>
  </si>
  <si>
    <t>Accrued Liabilities</t>
  </si>
  <si>
    <t>ITP</t>
  </si>
  <si>
    <t>LOC &amp; Current Portion of Loans</t>
  </si>
  <si>
    <t>Deferred Revenue</t>
  </si>
  <si>
    <t>ST Deferred Revenue</t>
  </si>
  <si>
    <t>ST ITP</t>
  </si>
  <si>
    <t>LT Deferred Revenue</t>
  </si>
  <si>
    <t>Term Loans</t>
  </si>
  <si>
    <t>Converts</t>
  </si>
  <si>
    <t>Other LT Liabilities</t>
  </si>
  <si>
    <t>Liabilities</t>
  </si>
  <si>
    <t>SE</t>
  </si>
  <si>
    <t>L+SE</t>
  </si>
  <si>
    <t>DSO</t>
  </si>
  <si>
    <t>Model NI</t>
  </si>
  <si>
    <t>Reported NI</t>
  </si>
  <si>
    <t>D&amp;A</t>
  </si>
  <si>
    <t>SB Comp</t>
  </si>
  <si>
    <t>Loss from Equity Investee</t>
  </si>
  <si>
    <t>Other</t>
  </si>
  <si>
    <t>Accrued Liabilties</t>
  </si>
  <si>
    <t>PP&amp;E Purchases</t>
  </si>
  <si>
    <t>Investment in Equity</t>
  </si>
  <si>
    <t>Acquisition</t>
  </si>
  <si>
    <t>CAPEX</t>
  </si>
  <si>
    <t>UR Foreign Currency Exchange Gain</t>
  </si>
  <si>
    <t>NVDA Rev</t>
  </si>
  <si>
    <t>NVDA Blackwell Rev</t>
  </si>
  <si>
    <t>"21.8-22.6b 2025"</t>
  </si>
  <si>
    <t>AMD MI350 + MI325X Rev</t>
  </si>
  <si>
    <t>"DCBBS . . . delivering up  to 30% lower TCO"</t>
  </si>
  <si>
    <t>Enterprise/Channel Vert</t>
  </si>
  <si>
    <t>Company is a Server and Storage Systems maker mainly for cloud and works with AMD &amp; NVDA</t>
  </si>
  <si>
    <t>USA Rev</t>
  </si>
  <si>
    <t>Asia Rev</t>
  </si>
  <si>
    <t>Rest of World</t>
  </si>
  <si>
    <t>Hopper-&gt;Blackwell Server Upgrade</t>
  </si>
  <si>
    <t>Q425 and FY26 expected strong growth due to Blackwell</t>
  </si>
  <si>
    <t>Blackwell 60% faster than Hopper</t>
  </si>
  <si>
    <t>"40b revenue by 2026 conservative" &lt;-- previous guidance no FY26 guidance for now</t>
  </si>
  <si>
    <t>Gross Margin is the key to the valuation of this stock</t>
  </si>
  <si>
    <t>DGX B200, HGX, DCBBS, GB300, B300, DLC2</t>
  </si>
  <si>
    <t>tariff GM headwinds</t>
  </si>
  <si>
    <t>long-term GM target of 14-17%</t>
  </si>
  <si>
    <t>current GM reduction from using older inventory</t>
  </si>
  <si>
    <t>SMCI COGS is the GPUs together to make a server stack and sell it</t>
  </si>
  <si>
    <t>TAM</t>
  </si>
  <si>
    <t>Penetration %</t>
  </si>
  <si>
    <t>ORCL CAPEX</t>
  </si>
  <si>
    <t>AZMN CAPEX</t>
  </si>
  <si>
    <t>MSFT CAPEX</t>
  </si>
  <si>
    <t>GOOGL CAPEX</t>
  </si>
  <si>
    <t>% of NVDA traffic is SMCI</t>
  </si>
  <si>
    <t>"According to the Bloomberg Supply Chain feature, Super Micro accounts for approximately 8% of NVIDIA's revenue"</t>
  </si>
  <si>
    <t>Core Rev</t>
  </si>
  <si>
    <t>Datavolt Rev</t>
  </si>
  <si>
    <t>20b deal w/ datavolt</t>
  </si>
  <si>
    <t>competitors to look at</t>
  </si>
  <si>
    <t>dell, hpe, ibm, lenovo</t>
  </si>
  <si>
    <t>Dell Server Rev</t>
  </si>
  <si>
    <t>HP Server Rev</t>
  </si>
  <si>
    <t>Dell Server Margin</t>
  </si>
  <si>
    <t>HP Server Margin</t>
  </si>
  <si>
    <t>IBM Server Rev</t>
  </si>
  <si>
    <t>IBM Server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</si>
</sst>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3" fontId="7" fillId="0" borderId="0" xfId="1" applyNumberFormat="1" applyFont="1"/>
    <xf numFmtId="3" fontId="8" fillId="0" borderId="0" xfId="0" applyNumberFormat="1" applyFont="1"/>
    <xf numFmtId="9" fontId="8" fillId="0" borderId="0" xfId="0" applyNumberFormat="1" applyFont="1"/>
    <xf numFmtId="3" fontId="5" fillId="0" borderId="0" xfId="0" applyNumberFormat="1" applyFont="1"/>
    <xf numFmtId="4" fontId="5" fillId="0" borderId="0" xfId="0" applyNumberFormat="1" applyFont="1"/>
    <xf numFmtId="0" fontId="8" fillId="0" borderId="0" xfId="0" applyFont="1"/>
    <xf numFmtId="0" fontId="5" fillId="0" borderId="0" xfId="0" applyFont="1"/>
    <xf numFmtId="3" fontId="4" fillId="0" borderId="0" xfId="0" applyNumberFormat="1" applyFont="1"/>
    <xf numFmtId="1" fontId="4" fillId="0" borderId="0" xfId="0" applyNumberFormat="1" applyFont="1"/>
    <xf numFmtId="1" fontId="4" fillId="0" borderId="1" xfId="0" applyNumberFormat="1" applyFont="1" applyBorder="1"/>
    <xf numFmtId="4" fontId="4" fillId="0" borderId="0" xfId="0" applyNumberFormat="1" applyFont="1"/>
    <xf numFmtId="10" fontId="4" fillId="0" borderId="0" xfId="0" applyNumberFormat="1" applyFont="1"/>
    <xf numFmtId="9" fontId="4" fillId="0" borderId="0" xfId="0" applyNumberFormat="1" applyFont="1"/>
    <xf numFmtId="164" fontId="4" fillId="0" borderId="0" xfId="0" applyNumberFormat="1" applyFont="1"/>
    <xf numFmtId="8" fontId="4" fillId="0" borderId="0" xfId="0" applyNumberFormat="1" applyFont="1"/>
    <xf numFmtId="0" fontId="4" fillId="0" borderId="0" xfId="0" applyFont="1"/>
    <xf numFmtId="164" fontId="8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/>
    <xf numFmtId="3" fontId="2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19050</xdr:rowOff>
    </xdr:from>
    <xdr:to>
      <xdr:col>9</xdr:col>
      <xdr:colOff>9525</xdr:colOff>
      <xdr:row>113</xdr:row>
      <xdr:rowOff>47625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BAEC3652-0265-712B-B45A-694F749AA1D9}"/>
            </a:ext>
          </a:extLst>
        </xdr:cNvPr>
        <xdr:cNvCxnSpPr/>
      </xdr:nvCxnSpPr>
      <xdr:spPr>
        <a:xfrm>
          <a:off x="6115050" y="19050"/>
          <a:ext cx="0" cy="189357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0</xdr:row>
      <xdr:rowOff>0</xdr:rowOff>
    </xdr:from>
    <xdr:to>
      <xdr:col>21</xdr:col>
      <xdr:colOff>0</xdr:colOff>
      <xdr:row>121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C348FFB5-0C39-F80A-F9CA-576D491C9A35}"/>
            </a:ext>
          </a:extLst>
        </xdr:cNvPr>
        <xdr:cNvCxnSpPr/>
      </xdr:nvCxnSpPr>
      <xdr:spPr>
        <a:xfrm>
          <a:off x="13335000" y="0"/>
          <a:ext cx="0" cy="172212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Liam R" id="{9FB83736-EE26-422E-AD1E-D65440F32024}" userId="be0b8782fa6c70c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5-05-13T06:04:12.41" personId="{9FB83736-EE26-422E-AD1E-D65440F32024}" id="{C2D78901-D1F4-4871-B5D4-B18265B433F7}">
    <text xml:space="preserve">https://www.bloomberg.com/news/articles/2024-08-06/super-micro-gives-strong-sales-outlook-on-ai-server-expansion
https://www.bloomberg.com/news/articles/2025-04-29/super-micro-plunges-after-its-prelimary-results-miss-estimates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V13" dT="2025-05-13T05:57:20.60" personId="{9FB83736-EE26-422E-AD1E-D65440F32024}" id="{07B89E43-8E64-4D6B-81D7-37BC3D9CEEE2}">
    <text>Majority of this capex from these companies is from cloud</text>
  </threadedComment>
  <threadedComment ref="V14" dT="2025-05-13T05:48:53.30" personId="{9FB83736-EE26-422E-AD1E-D65440F32024}" id="{B928ADE7-8211-4D2F-BD8C-79ED22DF99E4}">
    <text>“googl forecast for their FY25” mainly cloud capex</text>
  </threadedComment>
  <threadedComment ref="I20" dT="2025-05-13T06:01:58.85" personId="{9FB83736-EE26-422E-AD1E-D65440F32024}" id="{45B433DF-6A70-443F-BD0E-B05A27CEBFAA}">
    <text>Outlier, mostly sold old inventory this quarter</text>
  </threadedComment>
  <threadedComment ref="I20" dT="2025-05-13T06:06:27.60" personId="{9FB83736-EE26-422E-AD1E-D65440F32024}" id="{4DC0E4EE-3319-427D-A24F-67694DBE7EA0}" parentId="{45B433DF-6A70-443F-BD0E-B05A27CEBFAA}">
    <text>Also Inventory increase by smci could be in preparation for blackwell server capex</text>
  </threadedComment>
  <threadedComment ref="J27" dT="2025-05-13T04:58:19.64" personId="{9FB83736-EE26-422E-AD1E-D65440F32024}" id="{DEC1EFA7-08CE-407F-80BC-3BD72A054B95}">
    <text xml:space="preserve">“Q4 Rev at least 6b”
</text>
  </threadedComment>
  <threadedComment ref="J42" dT="2025-05-13T05:05:22.48" personId="{9FB83736-EE26-422E-AD1E-D65440F32024}" id="{518D6400-4738-48D4-8A7C-6A58D2E68831}">
    <text>“diluted share count”</text>
  </threadedComment>
  <threadedComment ref="J47" dT="2025-05-13T05:05:00.83" personId="{9FB83736-EE26-422E-AD1E-D65440F32024}" id="{F447A70C-BFD1-47B1-8F98-8C7CAE49EF2E}">
    <text>“expect 14.9% GAAP tax rate”</text>
  </threadedComment>
  <threadedComment ref="J101" dT="2025-05-13T05:04:41.19" personId="{9FB83736-EE26-422E-AD1E-D65440F32024}" id="{960D152D-CF0A-4D06-BBAA-48E55DA153B5}">
    <text>“expect 45-55m”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214CC-655A-4E11-87EC-D301395A4983}">
  <dimension ref="A1:J20"/>
  <sheetViews>
    <sheetView zoomScale="205" zoomScaleNormal="205" workbookViewId="0">
      <selection activeCell="A15" sqref="A15"/>
    </sheetView>
  </sheetViews>
  <sheetFormatPr defaultRowHeight="14.25" x14ac:dyDescent="0.2"/>
  <cols>
    <col min="1" max="16384" width="9.140625" style="7"/>
  </cols>
  <sheetData>
    <row r="1" spans="1:10" ht="15" x14ac:dyDescent="0.25">
      <c r="A1" s="6" t="s">
        <v>0</v>
      </c>
    </row>
    <row r="2" spans="1:10" x14ac:dyDescent="0.2">
      <c r="B2" s="7" t="s">
        <v>36</v>
      </c>
    </row>
    <row r="3" spans="1:10" x14ac:dyDescent="0.2">
      <c r="B3" s="16" t="s">
        <v>97</v>
      </c>
    </row>
    <row r="4" spans="1:10" x14ac:dyDescent="0.2">
      <c r="B4" s="16" t="s">
        <v>86</v>
      </c>
    </row>
    <row r="5" spans="1:10" x14ac:dyDescent="0.2">
      <c r="B5" s="7" t="s">
        <v>39</v>
      </c>
    </row>
    <row r="6" spans="1:10" x14ac:dyDescent="0.2">
      <c r="B6" s="16" t="s">
        <v>99</v>
      </c>
    </row>
    <row r="7" spans="1:10" x14ac:dyDescent="0.2">
      <c r="B7" s="16" t="s">
        <v>88</v>
      </c>
    </row>
    <row r="8" spans="1:10" x14ac:dyDescent="0.2">
      <c r="B8" s="16" t="s">
        <v>90</v>
      </c>
      <c r="E8" s="5"/>
    </row>
    <row r="9" spans="1:10" x14ac:dyDescent="0.2">
      <c r="B9" s="16" t="s">
        <v>94</v>
      </c>
    </row>
    <row r="10" spans="1:10" x14ac:dyDescent="0.2">
      <c r="B10" s="16" t="s">
        <v>95</v>
      </c>
      <c r="I10" s="20" t="s">
        <v>115</v>
      </c>
      <c r="J10" s="5"/>
    </row>
    <row r="11" spans="1:10" x14ac:dyDescent="0.2">
      <c r="B11" s="16" t="s">
        <v>96</v>
      </c>
      <c r="I11" s="20" t="s">
        <v>116</v>
      </c>
      <c r="J11" s="5"/>
    </row>
    <row r="12" spans="1:10" x14ac:dyDescent="0.2">
      <c r="B12" s="16" t="s">
        <v>98</v>
      </c>
      <c r="J12" s="5"/>
    </row>
    <row r="13" spans="1:10" x14ac:dyDescent="0.2">
      <c r="B13" s="16" t="s">
        <v>100</v>
      </c>
      <c r="E13" s="7" t="s">
        <v>1</v>
      </c>
      <c r="F13" s="4">
        <v>45</v>
      </c>
    </row>
    <row r="14" spans="1:10" x14ac:dyDescent="0.2">
      <c r="B14" s="16" t="s">
        <v>101</v>
      </c>
      <c r="E14" s="7" t="s">
        <v>2</v>
      </c>
      <c r="F14" s="8">
        <v>596.82000000000005</v>
      </c>
      <c r="G14" s="16" t="s">
        <v>19</v>
      </c>
    </row>
    <row r="15" spans="1:10" x14ac:dyDescent="0.2">
      <c r="B15" s="16" t="s">
        <v>102</v>
      </c>
      <c r="E15" s="7" t="s">
        <v>3</v>
      </c>
      <c r="F15" s="4">
        <f>F14*F13</f>
        <v>26856.9</v>
      </c>
    </row>
    <row r="16" spans="1:10" x14ac:dyDescent="0.2">
      <c r="B16" s="16" t="s">
        <v>103</v>
      </c>
      <c r="E16" s="7" t="s">
        <v>4</v>
      </c>
      <c r="F16" s="4">
        <v>1430</v>
      </c>
      <c r="G16" s="16" t="s">
        <v>19</v>
      </c>
    </row>
    <row r="17" spans="2:7" x14ac:dyDescent="0.2">
      <c r="B17" s="18" t="s">
        <v>114</v>
      </c>
      <c r="E17" s="7" t="s">
        <v>5</v>
      </c>
      <c r="F17" s="4">
        <f>1700+53+289</f>
        <v>2042</v>
      </c>
      <c r="G17" s="16" t="s">
        <v>19</v>
      </c>
    </row>
    <row r="18" spans="2:7" x14ac:dyDescent="0.2">
      <c r="E18" s="7" t="s">
        <v>6</v>
      </c>
      <c r="F18" s="4">
        <f>F15+F17-F16</f>
        <v>27468.9</v>
      </c>
    </row>
    <row r="20" spans="2:7" x14ac:dyDescent="0.2">
      <c r="B20" s="16" t="s">
        <v>111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DAD7-B3FD-4340-A438-67E4C3210CEC}">
  <dimension ref="A1:DR102"/>
  <sheetViews>
    <sheetView tabSelected="1" zoomScaleNormal="100" workbookViewId="0">
      <pane xSplit="2" ySplit="1" topLeftCell="R2" activePane="bottomRight" state="frozen"/>
      <selection pane="topRight" activeCell="B1" sqref="B1"/>
      <selection pane="bottomLeft" activeCell="A2" sqref="A2"/>
      <selection pane="bottomRight" activeCell="Z9" sqref="Z9"/>
    </sheetView>
  </sheetViews>
  <sheetFormatPr defaultRowHeight="14.25" x14ac:dyDescent="0.2"/>
  <cols>
    <col min="1" max="1" width="6" style="8" customWidth="1"/>
    <col min="2" max="2" width="21.5703125" style="8" customWidth="1"/>
    <col min="3" max="20" width="9.140625" style="8"/>
    <col min="21" max="21" width="9.85546875" style="8" bestFit="1" customWidth="1"/>
    <col min="22" max="22" width="10.85546875" style="8" customWidth="1"/>
    <col min="23" max="25" width="9.140625" style="8"/>
    <col min="26" max="26" width="11" style="8" customWidth="1"/>
    <col min="27" max="29" width="9.140625" style="8"/>
    <col min="30" max="30" width="9.140625" style="8" customWidth="1"/>
    <col min="31" max="16384" width="9.140625" style="8"/>
  </cols>
  <sheetData>
    <row r="1" spans="1:31" x14ac:dyDescent="0.2">
      <c r="A1" s="1" t="s">
        <v>48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17</v>
      </c>
      <c r="H1" s="8" t="s">
        <v>18</v>
      </c>
      <c r="I1" s="8" t="s">
        <v>19</v>
      </c>
      <c r="J1" s="8" t="s">
        <v>20</v>
      </c>
      <c r="K1" s="8" t="s">
        <v>34</v>
      </c>
      <c r="L1" s="8" t="s">
        <v>35</v>
      </c>
      <c r="M1" s="8" t="s">
        <v>46</v>
      </c>
      <c r="N1" s="8" t="s">
        <v>47</v>
      </c>
      <c r="P1" s="9">
        <v>2020</v>
      </c>
      <c r="Q1" s="9">
        <v>2021</v>
      </c>
      <c r="R1" s="9">
        <v>2022</v>
      </c>
      <c r="S1" s="9">
        <v>2023</v>
      </c>
      <c r="T1" s="9">
        <v>2024</v>
      </c>
      <c r="U1" s="10">
        <f t="shared" ref="U1:Z1" si="0">T1+1</f>
        <v>2025</v>
      </c>
      <c r="V1" s="9">
        <f t="shared" si="0"/>
        <v>2026</v>
      </c>
      <c r="W1" s="9">
        <f t="shared" si="0"/>
        <v>2027</v>
      </c>
      <c r="X1" s="9">
        <f t="shared" si="0"/>
        <v>2028</v>
      </c>
      <c r="Y1" s="9">
        <f t="shared" si="0"/>
        <v>2029</v>
      </c>
      <c r="Z1" s="9">
        <f t="shared" si="0"/>
        <v>2030</v>
      </c>
      <c r="AA1" s="9">
        <f t="shared" ref="AA1" si="1">Z1+1</f>
        <v>2031</v>
      </c>
      <c r="AB1" s="9">
        <f t="shared" ref="AB1" si="2">AA1+1</f>
        <v>2032</v>
      </c>
      <c r="AC1" s="9">
        <f t="shared" ref="AC1" si="3">AB1+1</f>
        <v>2033</v>
      </c>
      <c r="AD1" s="9">
        <f t="shared" ref="AD1" si="4">AC1+1</f>
        <v>2034</v>
      </c>
      <c r="AE1" s="9">
        <f t="shared" ref="AE1" si="5">AD1+1</f>
        <v>2035</v>
      </c>
    </row>
    <row r="2" spans="1:31" x14ac:dyDescent="0.2">
      <c r="A2" s="1"/>
      <c r="B2" s="8" t="s">
        <v>91</v>
      </c>
      <c r="C2" s="13">
        <v>0.76</v>
      </c>
      <c r="I2" s="13">
        <v>0.6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31" x14ac:dyDescent="0.2">
      <c r="A3" s="1"/>
      <c r="B3" s="8" t="s">
        <v>92</v>
      </c>
      <c r="C3" s="13">
        <v>0.11</v>
      </c>
      <c r="I3" s="13">
        <v>0.3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31" x14ac:dyDescent="0.2">
      <c r="A4" s="1"/>
      <c r="B4" s="8" t="s">
        <v>93</v>
      </c>
      <c r="C4" s="13">
        <v>0.13</v>
      </c>
      <c r="I4" s="13">
        <v>0.1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31" x14ac:dyDescent="0.2">
      <c r="A5" s="1"/>
      <c r="E5" s="13"/>
      <c r="I5" s="13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31" x14ac:dyDescent="0.2">
      <c r="A6" s="1"/>
      <c r="B6" s="22" t="s">
        <v>121</v>
      </c>
      <c r="E6" s="13"/>
      <c r="I6" s="13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31" x14ac:dyDescent="0.2">
      <c r="A7" s="1"/>
      <c r="B7" s="21" t="s">
        <v>117</v>
      </c>
      <c r="E7" s="13"/>
      <c r="I7" s="13"/>
      <c r="P7" s="9"/>
      <c r="Q7" s="9"/>
      <c r="R7" s="9"/>
      <c r="S7" s="9"/>
      <c r="T7" s="8">
        <v>17624</v>
      </c>
      <c r="U7" s="8">
        <v>27136</v>
      </c>
      <c r="V7" s="8">
        <f>U7+6000</f>
        <v>33136</v>
      </c>
      <c r="W7" s="9"/>
      <c r="X7" s="9"/>
      <c r="Y7" s="9"/>
      <c r="Z7" s="9"/>
    </row>
    <row r="8" spans="1:31" x14ac:dyDescent="0.2">
      <c r="A8" s="1"/>
      <c r="B8" s="21" t="s">
        <v>118</v>
      </c>
      <c r="E8" s="13"/>
      <c r="I8" s="13"/>
      <c r="P8" s="9"/>
      <c r="Q8" s="9"/>
      <c r="R8" s="9"/>
      <c r="S8" s="8">
        <v>15137</v>
      </c>
      <c r="T8" s="8">
        <v>13926</v>
      </c>
      <c r="U8" s="8">
        <v>15931</v>
      </c>
      <c r="V8" s="8">
        <f>U8*1.2</f>
        <v>19117.2</v>
      </c>
      <c r="W8" s="9"/>
      <c r="X8" s="9"/>
      <c r="Y8" s="9"/>
      <c r="Z8" s="9"/>
    </row>
    <row r="9" spans="1:31" x14ac:dyDescent="0.2">
      <c r="A9" s="1"/>
      <c r="B9" s="22" t="s">
        <v>122</v>
      </c>
      <c r="E9" s="13"/>
      <c r="I9" s="13"/>
      <c r="P9" s="9"/>
      <c r="Q9" s="9"/>
      <c r="R9" s="9"/>
      <c r="S9" s="13"/>
      <c r="T9" s="13"/>
      <c r="U9" s="13"/>
      <c r="V9" s="9"/>
      <c r="W9" s="9"/>
      <c r="X9" s="9"/>
      <c r="Y9" s="9"/>
      <c r="Z9" s="9"/>
    </row>
    <row r="10" spans="1:31" x14ac:dyDescent="0.2">
      <c r="A10" s="1"/>
      <c r="B10" s="22" t="s">
        <v>119</v>
      </c>
      <c r="E10" s="13"/>
      <c r="I10" s="13"/>
      <c r="P10" s="9"/>
      <c r="Q10" s="9"/>
      <c r="R10" s="9"/>
      <c r="S10" s="9"/>
      <c r="T10" s="14">
        <v>0.126</v>
      </c>
      <c r="U10" s="14">
        <v>0.128</v>
      </c>
      <c r="V10" s="14">
        <v>0.11799999999999999</v>
      </c>
      <c r="W10" s="9"/>
      <c r="X10" s="9"/>
      <c r="Y10" s="9"/>
      <c r="Z10" s="9"/>
    </row>
    <row r="11" spans="1:31" x14ac:dyDescent="0.2">
      <c r="A11" s="1"/>
      <c r="B11" s="22" t="s">
        <v>120</v>
      </c>
      <c r="E11" s="13"/>
      <c r="I11" s="13"/>
      <c r="P11" s="9"/>
      <c r="Q11" s="9"/>
      <c r="R11" s="9"/>
      <c r="S11" s="14">
        <v>0.125</v>
      </c>
      <c r="T11" s="14">
        <v>0.124</v>
      </c>
      <c r="U11" s="14">
        <v>0.112</v>
      </c>
      <c r="V11" s="14">
        <v>0.11</v>
      </c>
      <c r="W11" s="9"/>
      <c r="X11" s="9"/>
      <c r="Y11" s="9"/>
      <c r="Z11" s="9"/>
    </row>
    <row r="12" spans="1:31" x14ac:dyDescent="0.2">
      <c r="A12" s="1"/>
      <c r="E12" s="13"/>
      <c r="I12" s="13"/>
      <c r="P12" s="9"/>
      <c r="Q12" s="9"/>
      <c r="R12" s="9"/>
      <c r="S12" s="9"/>
      <c r="T12" s="13"/>
      <c r="U12" s="13"/>
      <c r="V12" s="9"/>
      <c r="W12" s="9"/>
      <c r="X12" s="9"/>
      <c r="Y12" s="9"/>
      <c r="Z12" s="9"/>
    </row>
    <row r="13" spans="1:31" x14ac:dyDescent="0.2">
      <c r="A13" s="1"/>
      <c r="B13" s="8" t="s">
        <v>104</v>
      </c>
      <c r="I13" s="13"/>
      <c r="P13" s="9"/>
      <c r="Q13" s="9"/>
      <c r="R13" s="9"/>
      <c r="S13" s="9"/>
      <c r="T13" s="9"/>
      <c r="U13" s="9"/>
      <c r="V13" s="8">
        <f>SUM(V14:V17)</f>
        <v>271000</v>
      </c>
      <c r="W13" s="8">
        <f t="shared" ref="W13:Z13" si="6">SUM(W14:W17)</f>
        <v>284550</v>
      </c>
      <c r="X13" s="8">
        <f t="shared" si="6"/>
        <v>298777.5</v>
      </c>
      <c r="Y13" s="8">
        <f t="shared" si="6"/>
        <v>313716.375</v>
      </c>
      <c r="Z13" s="8">
        <f t="shared" si="6"/>
        <v>329402.19374999998</v>
      </c>
    </row>
    <row r="14" spans="1:31" x14ac:dyDescent="0.2">
      <c r="A14" s="1"/>
      <c r="B14" s="8" t="s">
        <v>109</v>
      </c>
      <c r="V14" s="8">
        <v>75000</v>
      </c>
      <c r="W14" s="8">
        <f>V14*1.05</f>
        <v>78750</v>
      </c>
      <c r="X14" s="8">
        <f t="shared" ref="X14:Z14" si="7">W14*1.05</f>
        <v>82687.5</v>
      </c>
      <c r="Y14" s="8">
        <f t="shared" si="7"/>
        <v>86821.875</v>
      </c>
      <c r="Z14" s="8">
        <f t="shared" si="7"/>
        <v>91162.96875</v>
      </c>
    </row>
    <row r="15" spans="1:31" x14ac:dyDescent="0.2">
      <c r="A15" s="1"/>
      <c r="B15" s="8" t="s">
        <v>108</v>
      </c>
      <c r="V15" s="8">
        <v>80000</v>
      </c>
      <c r="W15" s="8">
        <f t="shared" ref="W15:Z17" si="8">V15*1.05</f>
        <v>84000</v>
      </c>
      <c r="X15" s="8">
        <f t="shared" si="8"/>
        <v>88200</v>
      </c>
      <c r="Y15" s="8">
        <f t="shared" si="8"/>
        <v>92610</v>
      </c>
      <c r="Z15" s="8">
        <f t="shared" si="8"/>
        <v>97240.5</v>
      </c>
    </row>
    <row r="16" spans="1:31" x14ac:dyDescent="0.2">
      <c r="A16" s="1"/>
      <c r="B16" s="8" t="s">
        <v>107</v>
      </c>
      <c r="V16" s="8">
        <v>100000</v>
      </c>
      <c r="W16" s="8">
        <f t="shared" si="8"/>
        <v>105000</v>
      </c>
      <c r="X16" s="8">
        <f t="shared" si="8"/>
        <v>110250</v>
      </c>
      <c r="Y16" s="8">
        <f t="shared" si="8"/>
        <v>115762.5</v>
      </c>
      <c r="Z16" s="8">
        <f t="shared" si="8"/>
        <v>121550.625</v>
      </c>
    </row>
    <row r="17" spans="1:26" x14ac:dyDescent="0.2">
      <c r="A17" s="1"/>
      <c r="B17" s="8" t="s">
        <v>106</v>
      </c>
      <c r="V17" s="8">
        <v>16000</v>
      </c>
      <c r="W17" s="8">
        <f t="shared" si="8"/>
        <v>16800</v>
      </c>
      <c r="X17" s="8">
        <f t="shared" si="8"/>
        <v>17640</v>
      </c>
      <c r="Y17" s="8">
        <f t="shared" si="8"/>
        <v>18522</v>
      </c>
      <c r="Z17" s="8">
        <f t="shared" si="8"/>
        <v>19448.100000000002</v>
      </c>
    </row>
    <row r="18" spans="1:26" x14ac:dyDescent="0.2">
      <c r="A18" s="1"/>
      <c r="B18" s="8" t="s">
        <v>105</v>
      </c>
      <c r="J18" s="8">
        <v>500</v>
      </c>
      <c r="S18" s="13" t="e">
        <f>S27/S13</f>
        <v>#DIV/0!</v>
      </c>
      <c r="T18" s="13" t="e">
        <f>T27/T13</f>
        <v>#DIV/0!</v>
      </c>
      <c r="U18" s="13" t="e">
        <f>U27/U13</f>
        <v>#DIV/0!</v>
      </c>
      <c r="V18" s="13">
        <f>V27/V13</f>
        <v>0.12915129151291513</v>
      </c>
      <c r="W18" s="13">
        <f t="shared" ref="W18:Z18" si="9">W27/W13</f>
        <v>0.14760147601476015</v>
      </c>
      <c r="X18" s="13">
        <f t="shared" si="9"/>
        <v>0.16868740115972589</v>
      </c>
      <c r="Y18" s="13">
        <f t="shared" si="9"/>
        <v>0.19278560132540101</v>
      </c>
      <c r="Z18" s="13">
        <f t="shared" si="9"/>
        <v>0.22032640151474403</v>
      </c>
    </row>
    <row r="19" spans="1:26" x14ac:dyDescent="0.2">
      <c r="A19" s="1"/>
      <c r="J19" s="13">
        <f>J18/I22</f>
        <v>4.3859649122807015E-2</v>
      </c>
    </row>
    <row r="20" spans="1:26" x14ac:dyDescent="0.2">
      <c r="A20" s="1"/>
      <c r="B20" s="8" t="s">
        <v>110</v>
      </c>
      <c r="I20" s="13">
        <f>I27/I22</f>
        <v>0.40350877192982454</v>
      </c>
      <c r="S20" s="13">
        <f>S27/S21</f>
        <v>0.26382962962962964</v>
      </c>
      <c r="T20" s="13">
        <f>T27/T21</f>
        <v>0.24572459016393444</v>
      </c>
      <c r="U20" s="13">
        <f>U27/U21</f>
        <v>0.17088461538461538</v>
      </c>
      <c r="V20" s="13">
        <f t="shared" ref="V20:Z20" si="10">V27/V21</f>
        <v>0.17499999999999999</v>
      </c>
      <c r="W20" s="13">
        <f t="shared" si="10"/>
        <v>0.15789473684210525</v>
      </c>
      <c r="X20" s="13">
        <f t="shared" si="10"/>
        <v>0.14237288135593221</v>
      </c>
      <c r="Y20" s="13">
        <f t="shared" si="10"/>
        <v>0.12868085106382979</v>
      </c>
      <c r="Z20" s="13">
        <f t="shared" si="10"/>
        <v>0.11612160000000001</v>
      </c>
    </row>
    <row r="21" spans="1:26" x14ac:dyDescent="0.2">
      <c r="A21" s="1"/>
      <c r="B21" s="8" t="s">
        <v>84</v>
      </c>
      <c r="I21" s="13"/>
      <c r="S21" s="8">
        <v>27000</v>
      </c>
      <c r="T21" s="8">
        <v>61000</v>
      </c>
      <c r="U21" s="8">
        <v>130000</v>
      </c>
      <c r="V21" s="8">
        <v>200000</v>
      </c>
      <c r="W21" s="8">
        <v>266000</v>
      </c>
      <c r="X21" s="8">
        <v>354000</v>
      </c>
      <c r="Y21" s="8">
        <v>470000</v>
      </c>
      <c r="Z21" s="8">
        <v>625000</v>
      </c>
    </row>
    <row r="22" spans="1:26" x14ac:dyDescent="0.2">
      <c r="A22" s="1"/>
      <c r="B22" s="8" t="s">
        <v>85</v>
      </c>
      <c r="I22" s="8">
        <v>11400</v>
      </c>
    </row>
    <row r="23" spans="1:26" x14ac:dyDescent="0.2">
      <c r="A23" s="1"/>
      <c r="B23" s="8" t="s">
        <v>87</v>
      </c>
    </row>
    <row r="24" spans="1:26" x14ac:dyDescent="0.2">
      <c r="A24" s="1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">
      <c r="A25" s="1"/>
      <c r="B25" s="8" t="s">
        <v>89</v>
      </c>
      <c r="E25" s="8">
        <f>I25*0.97</f>
        <v>1843</v>
      </c>
      <c r="H25" s="8">
        <f>H27*0.25</f>
        <v>1419.5</v>
      </c>
      <c r="I25" s="8">
        <v>1900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">
      <c r="A26" s="1"/>
      <c r="I26" s="13"/>
      <c r="P26" s="9"/>
      <c r="Q26" s="9"/>
      <c r="R26" s="9"/>
      <c r="S26" s="9"/>
      <c r="T26" s="9"/>
      <c r="U26" s="9"/>
      <c r="V26" s="9"/>
    </row>
    <row r="27" spans="1:26" s="19" customFormat="1" ht="15" x14ac:dyDescent="0.25">
      <c r="A27" s="2"/>
      <c r="B27" s="19" t="s">
        <v>112</v>
      </c>
      <c r="C27" s="19">
        <v>2119.6</v>
      </c>
      <c r="D27" s="19">
        <v>3664.9</v>
      </c>
      <c r="E27" s="19">
        <v>3850</v>
      </c>
      <c r="F27" s="19">
        <v>5308.2</v>
      </c>
      <c r="G27" s="19">
        <v>5937</v>
      </c>
      <c r="H27" s="19">
        <v>5678</v>
      </c>
      <c r="I27" s="19">
        <v>4600</v>
      </c>
      <c r="J27" s="19">
        <v>6000</v>
      </c>
      <c r="K27" s="19">
        <f>J27*1.2</f>
        <v>7200</v>
      </c>
      <c r="L27" s="19">
        <f>K27*1.03</f>
        <v>7416</v>
      </c>
      <c r="M27" s="19">
        <f>L27*1.03</f>
        <v>7638.4800000000005</v>
      </c>
      <c r="N27" s="19">
        <f>M27*1.4</f>
        <v>10693.871999999999</v>
      </c>
      <c r="O27" s="19">
        <f>SUM(K27:N27)</f>
        <v>32948.351999999999</v>
      </c>
      <c r="P27" s="19">
        <v>3339.3</v>
      </c>
      <c r="Q27" s="19">
        <v>3557.4</v>
      </c>
      <c r="R27" s="19">
        <v>5196.1000000000004</v>
      </c>
      <c r="S27" s="19">
        <v>7123.4</v>
      </c>
      <c r="T27" s="19">
        <v>14989.2</v>
      </c>
      <c r="U27" s="19">
        <f>SUM(G27:J27)</f>
        <v>22215</v>
      </c>
      <c r="V27" s="19">
        <v>35000</v>
      </c>
      <c r="W27" s="19">
        <f>V27*1.2</f>
        <v>42000</v>
      </c>
      <c r="X27" s="19">
        <f t="shared" ref="X27:Z27" si="11">W27*1.2</f>
        <v>50400</v>
      </c>
      <c r="Y27" s="19">
        <f t="shared" si="11"/>
        <v>60480</v>
      </c>
      <c r="Z27" s="19">
        <f t="shared" si="11"/>
        <v>72576</v>
      </c>
    </row>
    <row r="28" spans="1:26" s="2" customFormat="1" ht="15" x14ac:dyDescent="0.25">
      <c r="B28" s="19" t="s">
        <v>113</v>
      </c>
      <c r="V28" s="19">
        <v>4000</v>
      </c>
      <c r="W28" s="19">
        <v>4000</v>
      </c>
      <c r="X28" s="19">
        <v>4000</v>
      </c>
      <c r="Y28" s="19">
        <v>4000</v>
      </c>
      <c r="Z28" s="19">
        <v>4000</v>
      </c>
    </row>
    <row r="29" spans="1:26" s="2" customFormat="1" ht="15" x14ac:dyDescent="0.25">
      <c r="B29" s="2" t="s">
        <v>7</v>
      </c>
      <c r="V29" s="2">
        <f>SUM(V27:V28)</f>
        <v>39000</v>
      </c>
      <c r="W29" s="2">
        <f t="shared" ref="W29:Z29" si="12">SUM(W27:W28)</f>
        <v>46000</v>
      </c>
      <c r="X29" s="2">
        <f t="shared" si="12"/>
        <v>54400</v>
      </c>
      <c r="Y29" s="2">
        <f t="shared" si="12"/>
        <v>64480</v>
      </c>
      <c r="Z29" s="2">
        <f t="shared" si="12"/>
        <v>76576</v>
      </c>
    </row>
    <row r="30" spans="1:26" x14ac:dyDescent="0.2">
      <c r="B30" s="8" t="s">
        <v>21</v>
      </c>
      <c r="C30" s="8">
        <v>353.6</v>
      </c>
      <c r="D30" s="8">
        <v>3100.6</v>
      </c>
      <c r="E30" s="8">
        <v>3252.7</v>
      </c>
      <c r="F30" s="8">
        <v>4711.8999999999996</v>
      </c>
      <c r="G30" s="8">
        <v>5161.6000000000004</v>
      </c>
      <c r="H30" s="8">
        <v>5007.8999999999996</v>
      </c>
      <c r="I30" s="8">
        <v>4159</v>
      </c>
      <c r="J30" s="8">
        <f t="shared" ref="J30:L30" si="13">J27*(1-J49)</f>
        <v>5280</v>
      </c>
      <c r="K30" s="8">
        <f t="shared" si="13"/>
        <v>6336</v>
      </c>
      <c r="L30" s="8">
        <f t="shared" si="13"/>
        <v>6526.08</v>
      </c>
      <c r="M30" s="8">
        <f t="shared" ref="M30:N30" si="14">M27*(1-M49)</f>
        <v>6721.8624000000009</v>
      </c>
      <c r="N30" s="8">
        <f t="shared" si="14"/>
        <v>9410.60736</v>
      </c>
      <c r="P30" s="8">
        <v>2813.1</v>
      </c>
      <c r="Q30" s="8">
        <v>3022.9</v>
      </c>
      <c r="R30" s="8">
        <v>4396.1000000000004</v>
      </c>
      <c r="S30" s="8">
        <v>5840.4</v>
      </c>
      <c r="T30" s="8">
        <v>12927.8</v>
      </c>
      <c r="U30" s="8">
        <f>SUM(G30:J30)</f>
        <v>19608.5</v>
      </c>
      <c r="V30" s="8">
        <f>V29*(1-V49)</f>
        <v>34320</v>
      </c>
      <c r="W30" s="8">
        <f t="shared" ref="W30:Z30" si="15">W29*(1-W49)</f>
        <v>40369.599999999999</v>
      </c>
      <c r="X30" s="8">
        <f t="shared" si="15"/>
        <v>47608.268800000005</v>
      </c>
      <c r="Y30" s="8">
        <f t="shared" si="15"/>
        <v>56268.796979199993</v>
      </c>
      <c r="Z30" s="8">
        <f t="shared" si="15"/>
        <v>66629.400989900794</v>
      </c>
    </row>
    <row r="31" spans="1:26" x14ac:dyDescent="0.2">
      <c r="B31" s="8" t="s">
        <v>22</v>
      </c>
      <c r="C31" s="8">
        <f>C27-C30</f>
        <v>1766</v>
      </c>
      <c r="D31" s="8">
        <f t="shared" ref="D31:F31" si="16">D27-D30</f>
        <v>564.30000000000018</v>
      </c>
      <c r="E31" s="8">
        <f t="shared" si="16"/>
        <v>597.30000000000018</v>
      </c>
      <c r="F31" s="8">
        <f t="shared" si="16"/>
        <v>596.30000000000018</v>
      </c>
      <c r="G31" s="8">
        <f>G27-G30</f>
        <v>775.39999999999964</v>
      </c>
      <c r="H31" s="8">
        <f>H27-H30</f>
        <v>670.10000000000036</v>
      </c>
      <c r="I31" s="8">
        <f t="shared" ref="I31:L31" si="17">I27-I30</f>
        <v>441</v>
      </c>
      <c r="J31" s="8">
        <f t="shared" si="17"/>
        <v>720</v>
      </c>
      <c r="K31" s="8">
        <f t="shared" si="17"/>
        <v>864</v>
      </c>
      <c r="L31" s="8">
        <f t="shared" si="17"/>
        <v>889.92000000000007</v>
      </c>
      <c r="M31" s="8">
        <f t="shared" ref="M31:N31" si="18">M27-M30</f>
        <v>916.61759999999958</v>
      </c>
      <c r="N31" s="8">
        <f t="shared" si="18"/>
        <v>1283.2646399999994</v>
      </c>
      <c r="P31" s="8">
        <f t="shared" ref="P31:R31" si="19">P27-P30</f>
        <v>526.20000000000027</v>
      </c>
      <c r="Q31" s="8">
        <f t="shared" si="19"/>
        <v>534.5</v>
      </c>
      <c r="R31" s="8">
        <f t="shared" si="19"/>
        <v>800</v>
      </c>
      <c r="S31" s="8">
        <f t="shared" ref="S31:T31" si="20">S27-S30</f>
        <v>1283</v>
      </c>
      <c r="T31" s="8">
        <f t="shared" si="20"/>
        <v>2061.4000000000015</v>
      </c>
      <c r="U31" s="8">
        <f t="shared" ref="U31" si="21">U27-U30</f>
        <v>2606.5</v>
      </c>
      <c r="V31" s="8">
        <f>V29-V30</f>
        <v>4680</v>
      </c>
      <c r="W31" s="8">
        <f t="shared" ref="W31:Z31" si="22">W29-W30</f>
        <v>5630.4000000000015</v>
      </c>
      <c r="X31" s="8">
        <f t="shared" si="22"/>
        <v>6791.7311999999947</v>
      </c>
      <c r="Y31" s="8">
        <f t="shared" si="22"/>
        <v>8211.2030208000069</v>
      </c>
      <c r="Z31" s="8">
        <f t="shared" si="22"/>
        <v>9946.5990100992058</v>
      </c>
    </row>
    <row r="32" spans="1:26" x14ac:dyDescent="0.2">
      <c r="B32" s="8" t="s">
        <v>11</v>
      </c>
      <c r="C32" s="8">
        <v>111</v>
      </c>
      <c r="D32" s="8">
        <v>108.8</v>
      </c>
      <c r="E32" s="8">
        <v>116.2</v>
      </c>
      <c r="F32" s="8">
        <v>126.9</v>
      </c>
      <c r="G32" s="8">
        <v>132.19999999999999</v>
      </c>
      <c r="H32" s="8">
        <v>158.19999999999999</v>
      </c>
      <c r="I32" s="8">
        <v>162.9</v>
      </c>
      <c r="J32" s="8">
        <f>I32*(1+J46)</f>
        <v>212.47826086956522</v>
      </c>
      <c r="K32" s="8">
        <f t="shared" ref="K32:L32" si="23">J32*1.01</f>
        <v>214.60304347826087</v>
      </c>
      <c r="L32" s="8">
        <f t="shared" si="23"/>
        <v>216.74907391304347</v>
      </c>
      <c r="M32" s="8">
        <f t="shared" ref="M32" si="24">L32*1.01</f>
        <v>218.91656465217392</v>
      </c>
      <c r="N32" s="8">
        <f t="shared" ref="N32" si="25">M32*1.01</f>
        <v>221.10573029869565</v>
      </c>
      <c r="P32" s="8">
        <v>221.5</v>
      </c>
      <c r="Q32" s="8">
        <v>224.4</v>
      </c>
      <c r="R32" s="8">
        <v>272.3</v>
      </c>
      <c r="S32" s="8">
        <v>307.26</v>
      </c>
      <c r="T32" s="8">
        <v>463.5</v>
      </c>
      <c r="U32" s="8">
        <f>SUM(G32:J32)</f>
        <v>665.7782608695652</v>
      </c>
      <c r="V32" s="8">
        <f t="shared" ref="V32:Z32" si="26">U32*(1+V45)</f>
        <v>1168.8207145583185</v>
      </c>
      <c r="W32" s="8">
        <f t="shared" si="26"/>
        <v>1378.6090479405809</v>
      </c>
      <c r="X32" s="8">
        <f t="shared" si="26"/>
        <v>1630.3550479992957</v>
      </c>
      <c r="Y32" s="8">
        <f t="shared" si="26"/>
        <v>1932.4502480697536</v>
      </c>
      <c r="Z32" s="8">
        <f t="shared" si="26"/>
        <v>2294.9644881543027</v>
      </c>
    </row>
    <row r="33" spans="2:92" x14ac:dyDescent="0.2">
      <c r="B33" s="8" t="s">
        <v>24</v>
      </c>
      <c r="C33" s="8">
        <v>37.200000000000003</v>
      </c>
      <c r="D33" s="8">
        <v>46.8</v>
      </c>
      <c r="E33" s="8">
        <v>49.7</v>
      </c>
      <c r="F33" s="8">
        <v>55.7</v>
      </c>
      <c r="G33" s="8">
        <v>68.8</v>
      </c>
      <c r="H33" s="8">
        <v>79.5</v>
      </c>
      <c r="I33" s="8">
        <v>60</v>
      </c>
      <c r="J33" s="8">
        <f t="shared" ref="J33:L33" si="27">I33*(1+J46)</f>
        <v>78.260869565217391</v>
      </c>
      <c r="K33" s="8">
        <f t="shared" si="27"/>
        <v>93.91304347826086</v>
      </c>
      <c r="L33" s="8">
        <f t="shared" si="27"/>
        <v>96.730434782608683</v>
      </c>
      <c r="M33" s="8">
        <f t="shared" ref="M33" si="28">L33*(1+M46)</f>
        <v>99.632347826086942</v>
      </c>
      <c r="N33" s="8">
        <f t="shared" ref="N33" si="29">M33*(1+N46)</f>
        <v>139.48528695652172</v>
      </c>
      <c r="P33" s="8">
        <v>85.1</v>
      </c>
      <c r="Q33" s="8">
        <v>85.7</v>
      </c>
      <c r="R33" s="8">
        <v>90.1</v>
      </c>
      <c r="S33" s="8">
        <v>115</v>
      </c>
      <c r="T33" s="8">
        <v>189.7</v>
      </c>
      <c r="U33" s="8">
        <f>SUM(G33:J33)</f>
        <v>286.56086956521739</v>
      </c>
      <c r="V33" s="8">
        <f t="shared" ref="V33:Z33" si="30">U33*(1+V45)</f>
        <v>503.07782638053021</v>
      </c>
      <c r="W33" s="8">
        <f t="shared" si="30"/>
        <v>593.37384650011256</v>
      </c>
      <c r="X33" s="8">
        <f t="shared" si="30"/>
        <v>701.72907064361141</v>
      </c>
      <c r="Y33" s="8">
        <f t="shared" si="30"/>
        <v>831.75533961581004</v>
      </c>
      <c r="Z33" s="8">
        <f t="shared" si="30"/>
        <v>987.78686238244836</v>
      </c>
    </row>
    <row r="34" spans="2:92" x14ac:dyDescent="0.2">
      <c r="B34" s="8" t="s">
        <v>25</v>
      </c>
      <c r="C34" s="8">
        <v>33.9</v>
      </c>
      <c r="D34" s="8">
        <v>37.200000000000003</v>
      </c>
      <c r="E34" s="8">
        <v>53.1</v>
      </c>
      <c r="F34" s="8">
        <v>70.400000000000006</v>
      </c>
      <c r="G34" s="8">
        <v>65.2</v>
      </c>
      <c r="H34" s="8">
        <v>63.6</v>
      </c>
      <c r="I34" s="8">
        <v>70.599999999999994</v>
      </c>
      <c r="J34" s="8">
        <f t="shared" ref="J34:L34" si="31">I34*(1+J46)</f>
        <v>92.086956521739125</v>
      </c>
      <c r="K34" s="8">
        <f t="shared" si="31"/>
        <v>110.50434782608694</v>
      </c>
      <c r="L34" s="8">
        <f t="shared" si="31"/>
        <v>113.81947826086956</v>
      </c>
      <c r="M34" s="8">
        <f t="shared" ref="M34" si="32">L34*(1+M46)</f>
        <v>117.23406260869565</v>
      </c>
      <c r="N34" s="8">
        <f t="shared" ref="N34" si="33">M34*(1+N46)</f>
        <v>164.1276876521739</v>
      </c>
      <c r="P34" s="8">
        <v>134</v>
      </c>
      <c r="Q34" s="8">
        <v>100.5</v>
      </c>
      <c r="R34" s="8">
        <v>102.4</v>
      </c>
      <c r="S34" s="8">
        <v>99.5</v>
      </c>
      <c r="T34" s="8">
        <v>197.3</v>
      </c>
      <c r="U34" s="8">
        <f>SUM(G34:J34)</f>
        <v>291.4869565217391</v>
      </c>
      <c r="V34" s="8">
        <f t="shared" ref="V34:Z34" si="34">U34*(1+V45)</f>
        <v>511.7259196195285</v>
      </c>
      <c r="W34" s="8">
        <f t="shared" si="34"/>
        <v>603.5741616025208</v>
      </c>
      <c r="X34" s="8">
        <f t="shared" si="34"/>
        <v>713.79205198211162</v>
      </c>
      <c r="Y34" s="8">
        <f t="shared" si="34"/>
        <v>846.05352043762059</v>
      </c>
      <c r="Z34" s="8">
        <f t="shared" si="34"/>
        <v>1004.7672825842312</v>
      </c>
    </row>
    <row r="35" spans="2:92" x14ac:dyDescent="0.2">
      <c r="B35" s="8" t="s">
        <v>26</v>
      </c>
      <c r="C35" s="8">
        <f>SUM(C32:C34)</f>
        <v>182.1</v>
      </c>
      <c r="D35" s="8">
        <f t="shared" ref="D35:F35" si="35">SUM(D32:D34)</f>
        <v>192.8</v>
      </c>
      <c r="E35" s="8">
        <f t="shared" si="35"/>
        <v>219</v>
      </c>
      <c r="F35" s="8">
        <f t="shared" si="35"/>
        <v>253.00000000000003</v>
      </c>
      <c r="G35" s="8">
        <f>SUM(G32:G34)</f>
        <v>266.2</v>
      </c>
      <c r="H35" s="8">
        <f>SUM(H32:H34)</f>
        <v>301.3</v>
      </c>
      <c r="I35" s="8">
        <f t="shared" ref="I35:L35" si="36">SUM(I32:I34)</f>
        <v>293.5</v>
      </c>
      <c r="J35" s="8">
        <f t="shared" si="36"/>
        <v>382.82608695652175</v>
      </c>
      <c r="K35" s="8">
        <f t="shared" si="36"/>
        <v>419.02043478260867</v>
      </c>
      <c r="L35" s="8">
        <f t="shared" si="36"/>
        <v>427.29898695652173</v>
      </c>
      <c r="M35" s="8">
        <f t="shared" ref="M35:N35" si="37">SUM(M32:M34)</f>
        <v>435.78297508695647</v>
      </c>
      <c r="N35" s="8">
        <f t="shared" si="37"/>
        <v>524.71870490739127</v>
      </c>
      <c r="P35" s="8">
        <f t="shared" ref="P35:R35" si="38">SUM(P32:P34)</f>
        <v>440.6</v>
      </c>
      <c r="Q35" s="8">
        <f t="shared" si="38"/>
        <v>410.6</v>
      </c>
      <c r="R35" s="8">
        <f t="shared" si="38"/>
        <v>464.79999999999995</v>
      </c>
      <c r="S35" s="8">
        <f t="shared" ref="S35:T35" si="39">SUM(S32:S34)</f>
        <v>521.76</v>
      </c>
      <c r="T35" s="8">
        <f t="shared" si="39"/>
        <v>850.5</v>
      </c>
      <c r="U35" s="8">
        <f t="shared" ref="U35:Y35" si="40">SUM(U32:U34)</f>
        <v>1243.8260869565217</v>
      </c>
      <c r="V35" s="8">
        <f t="shared" si="40"/>
        <v>2183.6244605583775</v>
      </c>
      <c r="W35" s="8">
        <f t="shared" si="40"/>
        <v>2575.5570560432143</v>
      </c>
      <c r="X35" s="8">
        <f t="shared" si="40"/>
        <v>3045.8761706250189</v>
      </c>
      <c r="Y35" s="8">
        <f t="shared" si="40"/>
        <v>3610.2591081231844</v>
      </c>
      <c r="Z35" s="8">
        <f t="shared" ref="Z35" si="41">SUM(Z32:Z34)</f>
        <v>4287.5186331209825</v>
      </c>
    </row>
    <row r="36" spans="2:92" s="2" customFormat="1" ht="15" x14ac:dyDescent="0.25">
      <c r="B36" s="2" t="s">
        <v>27</v>
      </c>
      <c r="C36" s="2">
        <f>C31-C35</f>
        <v>1583.9</v>
      </c>
      <c r="D36" s="2">
        <f t="shared" ref="D36:F36" si="42">D31-D35</f>
        <v>371.50000000000017</v>
      </c>
      <c r="E36" s="2">
        <f t="shared" si="42"/>
        <v>378.30000000000018</v>
      </c>
      <c r="F36" s="2">
        <f t="shared" si="42"/>
        <v>343.30000000000018</v>
      </c>
      <c r="G36" s="2">
        <f>G31-G35</f>
        <v>509.19999999999965</v>
      </c>
      <c r="H36" s="2">
        <f>H31-H35</f>
        <v>368.80000000000035</v>
      </c>
      <c r="I36" s="2">
        <f t="shared" ref="I36:L36" si="43">I31-I35</f>
        <v>147.5</v>
      </c>
      <c r="J36" s="2">
        <f t="shared" si="43"/>
        <v>337.17391304347825</v>
      </c>
      <c r="K36" s="2">
        <f t="shared" si="43"/>
        <v>444.97956521739133</v>
      </c>
      <c r="L36" s="2">
        <f t="shared" si="43"/>
        <v>462.62101304347834</v>
      </c>
      <c r="M36" s="2">
        <f t="shared" ref="M36:N36" si="44">M31-M35</f>
        <v>480.83462491304311</v>
      </c>
      <c r="N36" s="2">
        <f t="shared" si="44"/>
        <v>758.54593509260815</v>
      </c>
      <c r="P36" s="2">
        <f t="shared" ref="P36:R36" si="45">P31-P35</f>
        <v>85.60000000000025</v>
      </c>
      <c r="Q36" s="2">
        <f t="shared" si="45"/>
        <v>123.89999999999998</v>
      </c>
      <c r="R36" s="2">
        <f t="shared" si="45"/>
        <v>335.20000000000005</v>
      </c>
      <c r="S36" s="2">
        <f t="shared" ref="S36:T36" si="46">S31-S35</f>
        <v>761.24</v>
      </c>
      <c r="T36" s="2">
        <f t="shared" si="46"/>
        <v>1210.9000000000015</v>
      </c>
      <c r="U36" s="2">
        <f t="shared" ref="U36:V36" si="47">U31-U35</f>
        <v>1362.6739130434783</v>
      </c>
      <c r="V36" s="2">
        <f t="shared" si="47"/>
        <v>2496.3755394416225</v>
      </c>
      <c r="W36" s="2">
        <f t="shared" ref="W36" si="48">W31-W35</f>
        <v>3054.8429439567872</v>
      </c>
      <c r="X36" s="2">
        <f t="shared" ref="X36" si="49">X31-X35</f>
        <v>3745.8550293749759</v>
      </c>
      <c r="Y36" s="2">
        <f t="shared" ref="Y36:Z36" si="50">Y31-Y35</f>
        <v>4600.9439126768229</v>
      </c>
      <c r="Z36" s="2">
        <f t="shared" si="50"/>
        <v>5659.0803769782233</v>
      </c>
    </row>
    <row r="37" spans="2:92" x14ac:dyDescent="0.2">
      <c r="B37" s="8" t="s">
        <v>32</v>
      </c>
      <c r="C37" s="8">
        <v>6.6</v>
      </c>
      <c r="D37" s="8">
        <v>-8</v>
      </c>
      <c r="E37" s="8">
        <v>10</v>
      </c>
      <c r="F37" s="8">
        <v>14</v>
      </c>
      <c r="G37" s="8">
        <v>7.2</v>
      </c>
      <c r="H37" s="8">
        <v>12.9</v>
      </c>
      <c r="I37" s="8">
        <v>-18.3</v>
      </c>
      <c r="P37" s="8">
        <v>1.4</v>
      </c>
      <c r="Q37" s="8">
        <v>-2.8</v>
      </c>
      <c r="R37" s="8">
        <v>8.1</v>
      </c>
      <c r="T37" s="8">
        <v>22.7</v>
      </c>
      <c r="U37" s="8">
        <f>SUM(G37:J37)</f>
        <v>1.8000000000000007</v>
      </c>
    </row>
    <row r="38" spans="2:92" x14ac:dyDescent="0.2">
      <c r="B38" s="8" t="s">
        <v>28</v>
      </c>
      <c r="C38" s="8">
        <v>-1.8</v>
      </c>
      <c r="D38" s="8">
        <v>-8</v>
      </c>
      <c r="E38" s="8">
        <v>-6.3</v>
      </c>
      <c r="F38" s="8">
        <v>-3.1</v>
      </c>
      <c r="G38" s="8">
        <v>-17.3</v>
      </c>
      <c r="H38" s="8">
        <v>-6.5</v>
      </c>
      <c r="I38" s="8">
        <v>-13.4</v>
      </c>
      <c r="J38" s="8">
        <f>I53*$AC$45/4</f>
        <v>-1.2270000000000028</v>
      </c>
      <c r="K38" s="8">
        <f>J53*$AC$45/4</f>
        <v>3.0563231413043455</v>
      </c>
      <c r="L38" s="8">
        <f>K53*$AC$45/4</f>
        <v>8.768780717877716</v>
      </c>
      <c r="M38" s="8">
        <f>L53*$AC$45/4</f>
        <v>14.779000588335006</v>
      </c>
      <c r="N38" s="8">
        <f>M53*$AC$45/4</f>
        <v>21.098074313477575</v>
      </c>
      <c r="P38" s="8">
        <v>-2.2000000000000002</v>
      </c>
      <c r="Q38" s="8">
        <v>-2.5</v>
      </c>
      <c r="R38" s="8">
        <v>-6.4</v>
      </c>
      <c r="T38" s="8">
        <v>-19.350000000000001</v>
      </c>
      <c r="U38" s="8">
        <f>SUM(G38:J38)</f>
        <v>-38.427000000000007</v>
      </c>
      <c r="V38" s="8">
        <f>U53*$AC$45</f>
        <v>12.225292565217382</v>
      </c>
      <c r="W38" s="8">
        <f>V53*$AC$45</f>
        <v>134.28266133599328</v>
      </c>
      <c r="X38" s="8">
        <f>W53*$AC$45</f>
        <v>290.80498809245273</v>
      </c>
      <c r="Y38" s="8">
        <f>X53*$AC$45</f>
        <v>490.30184180562372</v>
      </c>
      <c r="Z38" s="8">
        <f>Y53*$AC$45</f>
        <v>743.32582647005472</v>
      </c>
    </row>
    <row r="39" spans="2:92" x14ac:dyDescent="0.2">
      <c r="B39" s="8" t="s">
        <v>29</v>
      </c>
      <c r="C39" s="8">
        <f>C36+SUM(C37:C38)</f>
        <v>1588.7</v>
      </c>
      <c r="D39" s="8">
        <f t="shared" ref="D39:F39" si="51">D36+SUM(D37:D38)</f>
        <v>355.50000000000017</v>
      </c>
      <c r="E39" s="8">
        <f t="shared" si="51"/>
        <v>382.00000000000017</v>
      </c>
      <c r="F39" s="8">
        <f t="shared" si="51"/>
        <v>354.20000000000016</v>
      </c>
      <c r="G39" s="8">
        <f>G36+SUM(G37:G38)</f>
        <v>499.09999999999962</v>
      </c>
      <c r="H39" s="8">
        <f>H36+SUM(H37:H38)</f>
        <v>375.20000000000033</v>
      </c>
      <c r="I39" s="8">
        <f t="shared" ref="I39:L39" si="52">I36+SUM(I37:I38)</f>
        <v>115.8</v>
      </c>
      <c r="J39" s="8">
        <f t="shared" si="52"/>
        <v>335.94691304347828</v>
      </c>
      <c r="K39" s="8">
        <f t="shared" si="52"/>
        <v>448.03588835869567</v>
      </c>
      <c r="L39" s="8">
        <f t="shared" si="52"/>
        <v>471.38979376135603</v>
      </c>
      <c r="M39" s="8">
        <f t="shared" ref="M39:N39" si="53">M36+SUM(M37:M38)</f>
        <v>495.61362550137812</v>
      </c>
      <c r="N39" s="8">
        <f t="shared" si="53"/>
        <v>779.64400940608573</v>
      </c>
      <c r="P39" s="8">
        <f t="shared" ref="P39:R39" si="54">P36+SUM(P37:P38)</f>
        <v>84.800000000000253</v>
      </c>
      <c r="Q39" s="8">
        <f t="shared" si="54"/>
        <v>118.59999999999998</v>
      </c>
      <c r="R39" s="8">
        <f t="shared" si="54"/>
        <v>336.90000000000003</v>
      </c>
      <c r="S39" s="8">
        <f t="shared" ref="S39:T39" si="55">S36+SUM(S37:S38)</f>
        <v>761.24</v>
      </c>
      <c r="T39" s="8">
        <f t="shared" si="55"/>
        <v>1214.2500000000014</v>
      </c>
      <c r="U39" s="8">
        <f t="shared" ref="U39:V39" si="56">U36+SUM(U37:U38)</f>
        <v>1326.0469130434783</v>
      </c>
      <c r="V39" s="8">
        <f t="shared" si="56"/>
        <v>2508.6008320068399</v>
      </c>
      <c r="W39" s="8">
        <f t="shared" ref="W39" si="57">W36+SUM(W37:W38)</f>
        <v>3189.1256052927806</v>
      </c>
      <c r="X39" s="8">
        <f t="shared" ref="X39" si="58">X36+SUM(X37:X38)</f>
        <v>4036.6600174674286</v>
      </c>
      <c r="Y39" s="8">
        <f t="shared" ref="Y39:Z39" si="59">Y36+SUM(Y37:Y38)</f>
        <v>5091.2457544824465</v>
      </c>
      <c r="Z39" s="8">
        <f t="shared" si="59"/>
        <v>6402.4062034482777</v>
      </c>
    </row>
    <row r="40" spans="2:92" x14ac:dyDescent="0.2">
      <c r="B40" s="8" t="s">
        <v>30</v>
      </c>
      <c r="C40" s="8">
        <v>20.2</v>
      </c>
      <c r="D40" s="8">
        <v>-61.5</v>
      </c>
      <c r="E40" s="8">
        <v>-20</v>
      </c>
      <c r="F40" s="8">
        <v>1</v>
      </c>
      <c r="G40" s="8">
        <v>74.7</v>
      </c>
      <c r="H40" s="8">
        <v>56.9</v>
      </c>
      <c r="I40" s="8">
        <v>5.8</v>
      </c>
      <c r="J40" s="8">
        <f>J39*J47</f>
        <v>50.392036956521743</v>
      </c>
      <c r="K40" s="8">
        <f t="shared" ref="K40:N40" si="60">K39*K47</f>
        <v>67.205383253804342</v>
      </c>
      <c r="L40" s="8">
        <f t="shared" si="60"/>
        <v>70.708469064203399</v>
      </c>
      <c r="M40" s="8">
        <f t="shared" si="60"/>
        <v>74.342043825206716</v>
      </c>
      <c r="N40" s="8">
        <f t="shared" si="60"/>
        <v>116.94660141091285</v>
      </c>
      <c r="P40" s="8">
        <v>2.9</v>
      </c>
      <c r="Q40" s="8">
        <v>6.9</v>
      </c>
      <c r="R40" s="8">
        <v>52.9</v>
      </c>
      <c r="S40" s="8">
        <v>110.6</v>
      </c>
      <c r="T40" s="8">
        <v>63.3</v>
      </c>
      <c r="U40" s="8">
        <f>SUM(G40:J40)</f>
        <v>187.79203695652174</v>
      </c>
      <c r="V40" s="8">
        <f t="shared" ref="V40:Z40" si="61">V47*V36</f>
        <v>474.31135249390832</v>
      </c>
      <c r="W40" s="8">
        <f t="shared" si="61"/>
        <v>580.42015935178961</v>
      </c>
      <c r="X40" s="8">
        <f t="shared" si="61"/>
        <v>711.71245558124542</v>
      </c>
      <c r="Y40" s="8">
        <f t="shared" si="61"/>
        <v>874.17934340859642</v>
      </c>
      <c r="Z40" s="8">
        <f t="shared" si="61"/>
        <v>1075.2252716258624</v>
      </c>
    </row>
    <row r="41" spans="2:92" ht="15" x14ac:dyDescent="0.25">
      <c r="B41" s="2" t="s">
        <v>8</v>
      </c>
      <c r="C41" s="2">
        <f>C39-C40</f>
        <v>1568.5</v>
      </c>
      <c r="D41" s="2">
        <f t="shared" ref="D41:F41" si="62">D39-D40</f>
        <v>417.00000000000017</v>
      </c>
      <c r="E41" s="2">
        <f t="shared" si="62"/>
        <v>402.00000000000017</v>
      </c>
      <c r="F41" s="2">
        <f t="shared" si="62"/>
        <v>353.20000000000016</v>
      </c>
      <c r="G41" s="2">
        <f>G39-G40</f>
        <v>424.39999999999964</v>
      </c>
      <c r="H41" s="2">
        <f>H39-H40</f>
        <v>318.30000000000035</v>
      </c>
      <c r="I41" s="2">
        <f>I39-I40</f>
        <v>110</v>
      </c>
      <c r="J41" s="2">
        <f>J39-J40</f>
        <v>285.55487608695654</v>
      </c>
      <c r="K41" s="2">
        <f t="shared" ref="K41:L41" si="63">K39-K40</f>
        <v>380.83050510489136</v>
      </c>
      <c r="L41" s="2">
        <f t="shared" si="63"/>
        <v>400.6813246971526</v>
      </c>
      <c r="M41" s="2">
        <f t="shared" ref="M41:N41" si="64">M39-M40</f>
        <v>421.27158167617142</v>
      </c>
      <c r="N41" s="2">
        <f t="shared" si="64"/>
        <v>662.69740799517285</v>
      </c>
      <c r="O41" s="2"/>
      <c r="P41" s="2">
        <f t="shared" ref="P41:R41" si="65">P39-P40</f>
        <v>81.900000000000247</v>
      </c>
      <c r="Q41" s="2">
        <f t="shared" si="65"/>
        <v>111.69999999999997</v>
      </c>
      <c r="R41" s="2">
        <f t="shared" si="65"/>
        <v>284.00000000000006</v>
      </c>
      <c r="S41" s="2">
        <f t="shared" ref="S41:Y41" si="66">S39-S40</f>
        <v>650.64</v>
      </c>
      <c r="T41" s="2">
        <f t="shared" si="66"/>
        <v>1150.9500000000014</v>
      </c>
      <c r="U41" s="2">
        <f t="shared" si="66"/>
        <v>1138.2548760869565</v>
      </c>
      <c r="V41" s="2">
        <f t="shared" si="66"/>
        <v>2034.2894795129316</v>
      </c>
      <c r="W41" s="2">
        <f t="shared" si="66"/>
        <v>2608.705445940991</v>
      </c>
      <c r="X41" s="2">
        <f t="shared" si="66"/>
        <v>3324.9475618861834</v>
      </c>
      <c r="Y41" s="2">
        <f t="shared" si="66"/>
        <v>4217.0664110738498</v>
      </c>
      <c r="Z41" s="2">
        <f t="shared" ref="Z41" si="67">Z39-Z40</f>
        <v>5327.180931822415</v>
      </c>
      <c r="AA41" s="2">
        <f t="shared" ref="AA41:BF41" si="68">Z41*(1+$AC$46)</f>
        <v>5380.4527411406389</v>
      </c>
      <c r="AB41" s="2">
        <f t="shared" si="68"/>
        <v>5434.2572685520454</v>
      </c>
      <c r="AC41" s="2">
        <f t="shared" si="68"/>
        <v>5488.5998412375657</v>
      </c>
      <c r="AD41" s="2">
        <f t="shared" si="68"/>
        <v>5543.4858396499412</v>
      </c>
      <c r="AE41" s="2">
        <f t="shared" si="68"/>
        <v>5598.9206980464405</v>
      </c>
      <c r="AF41" s="2">
        <f t="shared" si="68"/>
        <v>5654.9099050269051</v>
      </c>
      <c r="AG41" s="2">
        <f t="shared" si="68"/>
        <v>5711.4590040771745</v>
      </c>
      <c r="AH41" s="2">
        <f t="shared" si="68"/>
        <v>5768.5735941179464</v>
      </c>
      <c r="AI41" s="2">
        <f t="shared" si="68"/>
        <v>5826.2593300591261</v>
      </c>
      <c r="AJ41" s="2">
        <f t="shared" si="68"/>
        <v>5884.5219233597172</v>
      </c>
      <c r="AK41" s="2">
        <f t="shared" si="68"/>
        <v>5943.3671425933144</v>
      </c>
      <c r="AL41" s="2">
        <f t="shared" si="68"/>
        <v>6002.8008140192478</v>
      </c>
      <c r="AM41" s="2">
        <f t="shared" si="68"/>
        <v>6062.8288221594403</v>
      </c>
      <c r="AN41" s="2">
        <f t="shared" si="68"/>
        <v>6123.4571103810349</v>
      </c>
      <c r="AO41" s="2">
        <f t="shared" si="68"/>
        <v>6184.6916814848455</v>
      </c>
      <c r="AP41" s="2">
        <f t="shared" si="68"/>
        <v>6246.5385982996941</v>
      </c>
      <c r="AQ41" s="2">
        <f t="shared" si="68"/>
        <v>6309.0039842826909</v>
      </c>
      <c r="AR41" s="2">
        <f t="shared" si="68"/>
        <v>6372.0940241255175</v>
      </c>
      <c r="AS41" s="2">
        <f t="shared" si="68"/>
        <v>6435.814964366773</v>
      </c>
      <c r="AT41" s="2">
        <f t="shared" si="68"/>
        <v>6500.1731140104412</v>
      </c>
      <c r="AU41" s="2">
        <f t="shared" si="68"/>
        <v>6565.1748451505455</v>
      </c>
      <c r="AV41" s="2">
        <f t="shared" si="68"/>
        <v>6630.8265936020507</v>
      </c>
      <c r="AW41" s="2">
        <f t="shared" si="68"/>
        <v>6697.1348595380714</v>
      </c>
      <c r="AX41" s="2">
        <f t="shared" si="68"/>
        <v>6764.1062081334521</v>
      </c>
      <c r="AY41" s="2">
        <f t="shared" si="68"/>
        <v>6831.747270214787</v>
      </c>
      <c r="AZ41" s="2">
        <f t="shared" si="68"/>
        <v>6900.0647429169348</v>
      </c>
      <c r="BA41" s="2">
        <f t="shared" si="68"/>
        <v>6969.0653903461043</v>
      </c>
      <c r="BB41" s="2">
        <f t="shared" si="68"/>
        <v>7038.7560442495651</v>
      </c>
      <c r="BC41" s="2">
        <f t="shared" si="68"/>
        <v>7109.1436046920608</v>
      </c>
      <c r="BD41" s="2">
        <f t="shared" si="68"/>
        <v>7180.2350407389813</v>
      </c>
      <c r="BE41" s="2">
        <f t="shared" si="68"/>
        <v>7252.0373911463712</v>
      </c>
      <c r="BF41" s="2">
        <f t="shared" si="68"/>
        <v>7324.5577650578352</v>
      </c>
      <c r="BG41" s="2">
        <f t="shared" ref="BG41:CN41" si="69">BF41*(1+$AC$46)</f>
        <v>7397.8033427084138</v>
      </c>
      <c r="BH41" s="2">
        <f t="shared" si="69"/>
        <v>7471.7813761354982</v>
      </c>
      <c r="BI41" s="2">
        <f t="shared" si="69"/>
        <v>7546.4991898968537</v>
      </c>
      <c r="BJ41" s="2">
        <f t="shared" si="69"/>
        <v>7621.9641817958227</v>
      </c>
      <c r="BK41" s="2">
        <f t="shared" si="69"/>
        <v>7698.183823613781</v>
      </c>
      <c r="BL41" s="2">
        <f t="shared" si="69"/>
        <v>7775.1656618499192</v>
      </c>
      <c r="BM41" s="2">
        <f t="shared" si="69"/>
        <v>7852.9173184684187</v>
      </c>
      <c r="BN41" s="2">
        <f t="shared" si="69"/>
        <v>7931.4464916531033</v>
      </c>
      <c r="BO41" s="2">
        <f t="shared" si="69"/>
        <v>8010.7609565696348</v>
      </c>
      <c r="BP41" s="2">
        <f t="shared" si="69"/>
        <v>8090.8685661353311</v>
      </c>
      <c r="BQ41" s="2">
        <f t="shared" si="69"/>
        <v>8171.7772517966841</v>
      </c>
      <c r="BR41" s="2">
        <f t="shared" si="69"/>
        <v>8253.4950243146504</v>
      </c>
      <c r="BS41" s="2">
        <f t="shared" si="69"/>
        <v>8336.0299745577977</v>
      </c>
      <c r="BT41" s="2">
        <f t="shared" si="69"/>
        <v>8419.3902743033759</v>
      </c>
      <c r="BU41" s="2">
        <f t="shared" si="69"/>
        <v>8503.5841770464103</v>
      </c>
      <c r="BV41" s="2">
        <f t="shared" si="69"/>
        <v>8588.620018816875</v>
      </c>
      <c r="BW41" s="2">
        <f t="shared" si="69"/>
        <v>8674.506219005043</v>
      </c>
      <c r="BX41" s="2">
        <f t="shared" si="69"/>
        <v>8761.2512811950928</v>
      </c>
      <c r="BY41" s="2">
        <f t="shared" si="69"/>
        <v>8848.8637940070439</v>
      </c>
      <c r="BZ41" s="2">
        <f t="shared" si="69"/>
        <v>8937.3524319471144</v>
      </c>
      <c r="CA41" s="2">
        <f t="shared" si="69"/>
        <v>9026.7259562665859</v>
      </c>
      <c r="CB41" s="2">
        <f t="shared" si="69"/>
        <v>9116.9932158292522</v>
      </c>
      <c r="CC41" s="2">
        <f t="shared" si="69"/>
        <v>9208.163147987545</v>
      </c>
      <c r="CD41" s="2">
        <f t="shared" si="69"/>
        <v>9300.2447794674208</v>
      </c>
      <c r="CE41" s="2">
        <f t="shared" si="69"/>
        <v>9393.2472272620944</v>
      </c>
      <c r="CF41" s="2">
        <f t="shared" si="69"/>
        <v>9487.1796995347158</v>
      </c>
      <c r="CG41" s="2">
        <f t="shared" si="69"/>
        <v>9582.0514965300626</v>
      </c>
      <c r="CH41" s="2">
        <f t="shared" si="69"/>
        <v>9677.872011495363</v>
      </c>
      <c r="CI41" s="2">
        <f t="shared" si="69"/>
        <v>9774.6507316103161</v>
      </c>
      <c r="CJ41" s="2">
        <f t="shared" si="69"/>
        <v>9872.39723892642</v>
      </c>
      <c r="CK41" s="2">
        <f t="shared" si="69"/>
        <v>9971.1212113156835</v>
      </c>
      <c r="CL41" s="2">
        <f t="shared" si="69"/>
        <v>10070.832423428841</v>
      </c>
      <c r="CM41" s="2">
        <f t="shared" si="69"/>
        <v>10171.54074766313</v>
      </c>
      <c r="CN41" s="2">
        <f t="shared" si="69"/>
        <v>10273.256155139761</v>
      </c>
    </row>
    <row r="42" spans="2:92" x14ac:dyDescent="0.2">
      <c r="B42" s="8" t="s">
        <v>2</v>
      </c>
      <c r="C42" s="8">
        <v>531</v>
      </c>
      <c r="D42" s="8">
        <v>541</v>
      </c>
      <c r="E42" s="8">
        <v>564</v>
      </c>
      <c r="F42" s="8">
        <v>587</v>
      </c>
      <c r="G42" s="8">
        <v>593.48099999999999</v>
      </c>
      <c r="H42" s="8">
        <v>593.48099999999999</v>
      </c>
      <c r="I42" s="8">
        <v>593.48099999999999</v>
      </c>
      <c r="J42" s="8">
        <v>628</v>
      </c>
      <c r="K42" s="8">
        <v>628</v>
      </c>
      <c r="L42" s="8">
        <v>628</v>
      </c>
      <c r="M42" s="8">
        <v>628</v>
      </c>
      <c r="N42" s="8">
        <v>628</v>
      </c>
      <c r="P42" s="8">
        <v>510</v>
      </c>
      <c r="Q42" s="8">
        <v>511</v>
      </c>
      <c r="R42" s="8">
        <v>514</v>
      </c>
      <c r="T42" s="8">
        <v>593.48099999999999</v>
      </c>
      <c r="U42" s="8">
        <f>J42</f>
        <v>628</v>
      </c>
      <c r="V42" s="8">
        <v>628</v>
      </c>
      <c r="W42" s="8">
        <v>628</v>
      </c>
      <c r="X42" s="8">
        <v>628</v>
      </c>
      <c r="Y42" s="8">
        <v>628</v>
      </c>
      <c r="Z42" s="8">
        <v>628</v>
      </c>
    </row>
    <row r="43" spans="2:92" x14ac:dyDescent="0.2">
      <c r="B43" s="8" t="s">
        <v>31</v>
      </c>
      <c r="C43" s="11">
        <f>C41/C42</f>
        <v>2.9538606403013183</v>
      </c>
      <c r="D43" s="11">
        <f t="shared" ref="D43:F43" si="70">D41/D42</f>
        <v>0.77079482439926095</v>
      </c>
      <c r="E43" s="11">
        <f t="shared" si="70"/>
        <v>0.71276595744680882</v>
      </c>
      <c r="F43" s="11">
        <f t="shared" si="70"/>
        <v>0.60170357751277714</v>
      </c>
      <c r="G43" s="11">
        <f>G41/G42</f>
        <v>0.71510292663118047</v>
      </c>
      <c r="H43" s="11">
        <f>H41/H42</f>
        <v>0.53632719497338643</v>
      </c>
      <c r="I43" s="11">
        <f t="shared" ref="I43:L43" si="71">I41/I42</f>
        <v>0.18534712989969351</v>
      </c>
      <c r="J43" s="11">
        <f t="shared" si="71"/>
        <v>0.4547052166989754</v>
      </c>
      <c r="K43" s="11">
        <f t="shared" si="71"/>
        <v>0.6064180017593811</v>
      </c>
      <c r="L43" s="11">
        <f t="shared" si="71"/>
        <v>0.63802758709737672</v>
      </c>
      <c r="M43" s="11">
        <f t="shared" ref="M43:N43" si="72">M41/M42</f>
        <v>0.67081462050345764</v>
      </c>
      <c r="N43" s="11">
        <f t="shared" si="72"/>
        <v>1.0552506496738421</v>
      </c>
      <c r="O43" s="11"/>
      <c r="P43" s="11">
        <f t="shared" ref="P43:S43" si="73">P41/P42</f>
        <v>0.16058823529411814</v>
      </c>
      <c r="Q43" s="11">
        <f t="shared" si="73"/>
        <v>0.21859099804305279</v>
      </c>
      <c r="R43" s="11">
        <f t="shared" si="73"/>
        <v>0.55252918287937758</v>
      </c>
      <c r="S43" s="11" t="e">
        <f t="shared" si="73"/>
        <v>#DIV/0!</v>
      </c>
      <c r="T43" s="11">
        <f t="shared" ref="T43:Y43" si="74">T41/T42</f>
        <v>1.939320719618659</v>
      </c>
      <c r="U43" s="11">
        <f t="shared" si="74"/>
        <v>1.8125077644696761</v>
      </c>
      <c r="V43" s="11">
        <f t="shared" si="74"/>
        <v>3.2393144578231396</v>
      </c>
      <c r="W43" s="11">
        <f t="shared" si="74"/>
        <v>4.1539895636003044</v>
      </c>
      <c r="X43" s="11">
        <f t="shared" si="74"/>
        <v>5.2945024870799102</v>
      </c>
      <c r="Y43" s="11">
        <f t="shared" si="74"/>
        <v>6.7150739029838373</v>
      </c>
      <c r="Z43" s="11">
        <f t="shared" ref="Z43" si="75">Z41/Z42</f>
        <v>8.4827721844305977</v>
      </c>
      <c r="AA43" s="11"/>
      <c r="AB43" s="11"/>
      <c r="AC43" s="11"/>
      <c r="AD43" s="11"/>
      <c r="AE43" s="11"/>
    </row>
    <row r="44" spans="2:92" x14ac:dyDescent="0.2">
      <c r="S44" s="12"/>
      <c r="T44" s="12"/>
      <c r="U44" s="12"/>
      <c r="V44" s="11"/>
      <c r="W44" s="12"/>
      <c r="X44" s="12"/>
      <c r="Y44" s="12"/>
    </row>
    <row r="45" spans="2:92" ht="15" x14ac:dyDescent="0.25">
      <c r="B45" s="2" t="s">
        <v>23</v>
      </c>
      <c r="G45" s="3">
        <f t="shared" ref="G45:L45" si="76">G27/C27-1</f>
        <v>1.8010001887148519</v>
      </c>
      <c r="H45" s="3">
        <f t="shared" si="76"/>
        <v>0.54929193156702771</v>
      </c>
      <c r="I45" s="3">
        <f t="shared" si="76"/>
        <v>0.19480519480519476</v>
      </c>
      <c r="J45" s="3">
        <f t="shared" si="76"/>
        <v>0.13032666440601348</v>
      </c>
      <c r="K45" s="3">
        <f t="shared" si="76"/>
        <v>0.21273370389085389</v>
      </c>
      <c r="L45" s="3">
        <f t="shared" si="76"/>
        <v>0.30609369496301508</v>
      </c>
      <c r="M45" s="3">
        <f t="shared" ref="M45" si="77">M27/I27-1</f>
        <v>0.66053913043478274</v>
      </c>
      <c r="N45" s="3">
        <f t="shared" ref="N45" si="78">N27/J27-1</f>
        <v>0.7823119999999999</v>
      </c>
      <c r="O45" s="13"/>
      <c r="P45" s="13"/>
      <c r="Q45" s="3">
        <f t="shared" ref="Q45" si="79">Q27/P27-1</f>
        <v>6.5313089569670302E-2</v>
      </c>
      <c r="R45" s="3">
        <f t="shared" ref="R45" si="80">R27/Q27-1</f>
        <v>0.46064541519086988</v>
      </c>
      <c r="S45" s="3">
        <f t="shared" ref="S45" si="81">S27/R27-1</f>
        <v>0.37091279998460358</v>
      </c>
      <c r="T45" s="3">
        <f t="shared" ref="T45:U45" si="82">T27/S27-1</f>
        <v>1.1042198949939639</v>
      </c>
      <c r="U45" s="3">
        <f t="shared" si="82"/>
        <v>0.48206708830357847</v>
      </c>
      <c r="V45" s="3">
        <f>V29/U27-1</f>
        <v>0.75557056043214055</v>
      </c>
      <c r="W45" s="3">
        <f>W29/V29-1</f>
        <v>0.17948717948717952</v>
      </c>
      <c r="X45" s="3">
        <f t="shared" ref="X45:Z45" si="83">X29/W29-1</f>
        <v>0.18260869565217397</v>
      </c>
      <c r="Y45" s="3">
        <f t="shared" si="83"/>
        <v>0.18529411764705883</v>
      </c>
      <c r="Z45" s="3">
        <f t="shared" si="83"/>
        <v>0.18759305210918109</v>
      </c>
      <c r="AA45" s="3"/>
      <c r="AB45" s="8" t="s">
        <v>40</v>
      </c>
      <c r="AC45" s="13">
        <v>0.06</v>
      </c>
      <c r="AD45" s="3"/>
      <c r="AE45" s="3"/>
    </row>
    <row r="46" spans="2:92" x14ac:dyDescent="0.2">
      <c r="B46" s="8" t="s">
        <v>38</v>
      </c>
      <c r="D46" s="13">
        <f t="shared" ref="D46:J46" si="84">D27/C27-1</f>
        <v>0.72905265144366882</v>
      </c>
      <c r="E46" s="13">
        <f t="shared" si="84"/>
        <v>5.0506152964610251E-2</v>
      </c>
      <c r="F46" s="13">
        <f t="shared" si="84"/>
        <v>0.37875324675324662</v>
      </c>
      <c r="G46" s="13">
        <f t="shared" si="84"/>
        <v>0.11845823442975023</v>
      </c>
      <c r="H46" s="13">
        <f t="shared" si="84"/>
        <v>-4.362472629274039E-2</v>
      </c>
      <c r="I46" s="13">
        <f t="shared" si="84"/>
        <v>-0.18985558295174354</v>
      </c>
      <c r="J46" s="13">
        <f t="shared" si="84"/>
        <v>0.30434782608695654</v>
      </c>
      <c r="K46" s="13">
        <f t="shared" ref="K46:L46" si="85">K27/J27-1</f>
        <v>0.19999999999999996</v>
      </c>
      <c r="L46" s="13">
        <f t="shared" si="85"/>
        <v>3.0000000000000027E-2</v>
      </c>
      <c r="M46" s="13">
        <f t="shared" ref="M46" si="86">M27/L27-1</f>
        <v>3.0000000000000027E-2</v>
      </c>
      <c r="N46" s="13">
        <f t="shared" ref="N46" si="87">N27/M27-1</f>
        <v>0.39999999999999991</v>
      </c>
      <c r="O46" s="13"/>
      <c r="P46" s="13"/>
      <c r="Q46" s="13"/>
      <c r="AB46" s="8" t="s">
        <v>12</v>
      </c>
      <c r="AC46" s="13">
        <v>0.01</v>
      </c>
    </row>
    <row r="47" spans="2:92" x14ac:dyDescent="0.2">
      <c r="B47" s="8" t="s">
        <v>37</v>
      </c>
      <c r="C47" s="13">
        <f t="shared" ref="C47:I47" si="88">C40/C36</f>
        <v>1.2753330387019382E-2</v>
      </c>
      <c r="D47" s="13">
        <f t="shared" si="88"/>
        <v>-0.16554508748317623</v>
      </c>
      <c r="E47" s="13">
        <f t="shared" si="88"/>
        <v>-5.2868094105207479E-2</v>
      </c>
      <c r="F47" s="13">
        <f t="shared" si="88"/>
        <v>2.9129041654529552E-3</v>
      </c>
      <c r="G47" s="13">
        <f t="shared" si="88"/>
        <v>0.14670070699135909</v>
      </c>
      <c r="H47" s="13">
        <f t="shared" si="88"/>
        <v>0.15428416485900201</v>
      </c>
      <c r="I47" s="13">
        <f t="shared" si="88"/>
        <v>3.9322033898305082E-2</v>
      </c>
      <c r="J47" s="13">
        <v>0.15</v>
      </c>
      <c r="K47" s="13">
        <v>0.15</v>
      </c>
      <c r="L47" s="13">
        <v>0.15</v>
      </c>
      <c r="M47" s="13">
        <v>0.15</v>
      </c>
      <c r="N47" s="13">
        <v>0.15</v>
      </c>
      <c r="O47" s="13"/>
      <c r="P47" s="13">
        <f t="shared" ref="P47:U47" si="89">P40/P36</f>
        <v>3.3878504672897096E-2</v>
      </c>
      <c r="Q47" s="13">
        <f t="shared" si="89"/>
        <v>5.5690072639225194E-2</v>
      </c>
      <c r="R47" s="13">
        <f t="shared" si="89"/>
        <v>0.15781622911694509</v>
      </c>
      <c r="S47" s="13">
        <f t="shared" si="89"/>
        <v>0.14528926488361094</v>
      </c>
      <c r="T47" s="13">
        <f t="shared" si="89"/>
        <v>5.2275167230985152E-2</v>
      </c>
      <c r="U47" s="13">
        <f t="shared" si="89"/>
        <v>0.13781142734074631</v>
      </c>
      <c r="V47" s="13">
        <v>0.19</v>
      </c>
      <c r="W47" s="13">
        <v>0.19</v>
      </c>
      <c r="X47" s="13">
        <v>0.19</v>
      </c>
      <c r="Y47" s="13">
        <v>0.19</v>
      </c>
      <c r="Z47" s="13">
        <v>0.19</v>
      </c>
      <c r="AA47" s="13"/>
      <c r="AB47" s="8" t="s">
        <v>10</v>
      </c>
      <c r="AC47" s="14">
        <v>0.09</v>
      </c>
      <c r="AD47" s="13"/>
      <c r="AE47" s="13"/>
    </row>
    <row r="48" spans="2:92" ht="15" x14ac:dyDescent="0.25"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2" t="s">
        <v>13</v>
      </c>
      <c r="AC48" s="2">
        <f>NPV(AC47,V41:CN41)+main!F16-main!F17</f>
        <v>55893.293286543791</v>
      </c>
      <c r="AD48" s="13"/>
      <c r="AE48" s="13"/>
    </row>
    <row r="49" spans="2:31" ht="15" x14ac:dyDescent="0.25">
      <c r="B49" s="2" t="s">
        <v>9</v>
      </c>
      <c r="C49" s="3">
        <f t="shared" ref="C49:I49" si="90">C31/C27</f>
        <v>0.83317607095678436</v>
      </c>
      <c r="D49" s="3">
        <f t="shared" si="90"/>
        <v>0.15397418756309864</v>
      </c>
      <c r="E49" s="3">
        <f t="shared" si="90"/>
        <v>0.15514285714285719</v>
      </c>
      <c r="F49" s="3">
        <f t="shared" si="90"/>
        <v>0.11233563166421766</v>
      </c>
      <c r="G49" s="3">
        <f t="shared" si="90"/>
        <v>0.13060468249957885</v>
      </c>
      <c r="H49" s="3">
        <f t="shared" si="90"/>
        <v>0.11801690736174716</v>
      </c>
      <c r="I49" s="3">
        <f t="shared" si="90"/>
        <v>9.5869565217391303E-2</v>
      </c>
      <c r="J49" s="3">
        <v>0.12</v>
      </c>
      <c r="K49" s="3">
        <v>0.12</v>
      </c>
      <c r="L49" s="3">
        <v>0.12</v>
      </c>
      <c r="M49" s="3">
        <v>0.12</v>
      </c>
      <c r="N49" s="3">
        <v>0.12</v>
      </c>
      <c r="O49" s="3"/>
      <c r="P49" s="17">
        <f t="shared" ref="P49" si="91">P31/P27</f>
        <v>0.1575779354954632</v>
      </c>
      <c r="Q49" s="17">
        <f t="shared" ref="Q49:U49" si="92">Q31/Q27</f>
        <v>0.15025018271771517</v>
      </c>
      <c r="R49" s="17">
        <f t="shared" si="92"/>
        <v>0.15396162506495256</v>
      </c>
      <c r="S49" s="17">
        <f t="shared" si="92"/>
        <v>0.18011062133250977</v>
      </c>
      <c r="T49" s="17">
        <f t="shared" si="92"/>
        <v>0.13752568515998195</v>
      </c>
      <c r="U49" s="17">
        <f t="shared" si="92"/>
        <v>0.11733063245554805</v>
      </c>
      <c r="V49" s="17">
        <v>0.12</v>
      </c>
      <c r="W49" s="17">
        <f>V49*1.02</f>
        <v>0.12239999999999999</v>
      </c>
      <c r="X49" s="17">
        <f t="shared" ref="X49:Z49" si="93">W49*1.02</f>
        <v>0.124848</v>
      </c>
      <c r="Y49" s="17">
        <f t="shared" si="93"/>
        <v>0.12734496000000001</v>
      </c>
      <c r="Z49" s="17">
        <f t="shared" si="93"/>
        <v>0.12989185920000001</v>
      </c>
      <c r="AA49" s="17"/>
      <c r="AB49" s="8" t="s">
        <v>1</v>
      </c>
      <c r="AC49" s="15">
        <f>AC48/main!F14</f>
        <v>93.651843581890333</v>
      </c>
      <c r="AD49" s="17"/>
      <c r="AE49" s="17"/>
    </row>
    <row r="50" spans="2:31" x14ac:dyDescent="0.2">
      <c r="B50" s="8" t="s">
        <v>33</v>
      </c>
      <c r="C50" s="13" t="e">
        <f>#REF!/C27</f>
        <v>#REF!</v>
      </c>
      <c r="D50" s="13" t="e">
        <f>#REF!/D27</f>
        <v>#REF!</v>
      </c>
      <c r="E50" s="13" t="e">
        <f>#REF!/E27</f>
        <v>#REF!</v>
      </c>
      <c r="F50" s="13" t="e">
        <f>#REF!/F27</f>
        <v>#REF!</v>
      </c>
      <c r="G50" s="13" t="e">
        <f>#REF!/G27</f>
        <v>#REF!</v>
      </c>
      <c r="H50" s="13" t="e">
        <f>#REF!/H27</f>
        <v>#REF!</v>
      </c>
      <c r="I50" s="13" t="e">
        <f>#REF!/I27</f>
        <v>#REF!</v>
      </c>
      <c r="J50" s="13">
        <v>6.2E-2</v>
      </c>
      <c r="K50" s="13">
        <v>6.2E-2</v>
      </c>
      <c r="L50" s="13">
        <v>6.5000000000000002E-2</v>
      </c>
      <c r="M50" s="13">
        <v>6.5000000000000002E-2</v>
      </c>
      <c r="N50" s="13">
        <v>6.5000000000000002E-2</v>
      </c>
      <c r="O50" s="13"/>
      <c r="P50" s="13">
        <v>6.5000000000000002E-2</v>
      </c>
      <c r="Q50" s="13">
        <v>6.5000000000000002E-2</v>
      </c>
      <c r="R50" s="13" t="e">
        <f>#REF!/R41</f>
        <v>#REF!</v>
      </c>
      <c r="S50" s="13" t="e">
        <f>#REF!/S27</f>
        <v>#REF!</v>
      </c>
      <c r="T50" s="13" t="e">
        <f>#REF!/T27</f>
        <v>#REF!</v>
      </c>
      <c r="U50" s="13" t="e">
        <f>#REF!/U27</f>
        <v>#REF!</v>
      </c>
      <c r="V50" s="13" t="e">
        <f>#REF!/V27</f>
        <v>#REF!</v>
      </c>
      <c r="W50" s="13" t="e">
        <f>#REF!/W27</f>
        <v>#REF!</v>
      </c>
      <c r="X50" s="13" t="e">
        <f>#REF!/X27</f>
        <v>#REF!</v>
      </c>
      <c r="Y50" s="13" t="e">
        <f>#REF!/Y27</f>
        <v>#REF!</v>
      </c>
      <c r="Z50" s="13" t="e">
        <f>#REF!/Z27</f>
        <v>#REF!</v>
      </c>
      <c r="AA50" s="13"/>
      <c r="AB50" s="8" t="s">
        <v>14</v>
      </c>
      <c r="AC50" s="13">
        <f>AC49/main!F13-1</f>
        <v>1.0811520795975631</v>
      </c>
      <c r="AD50" s="13"/>
      <c r="AE50" s="13"/>
    </row>
    <row r="51" spans="2:31" x14ac:dyDescent="0.2">
      <c r="B51" s="8" t="s">
        <v>49</v>
      </c>
      <c r="C51" s="13">
        <f>C35/C27</f>
        <v>8.5912436308737503E-2</v>
      </c>
      <c r="D51" s="13">
        <f t="shared" ref="D51:N51" si="94">D35/D27</f>
        <v>5.2607165270539442E-2</v>
      </c>
      <c r="E51" s="13">
        <f t="shared" si="94"/>
        <v>5.6883116883116883E-2</v>
      </c>
      <c r="F51" s="13">
        <f t="shared" si="94"/>
        <v>4.7662107682453568E-2</v>
      </c>
      <c r="G51" s="13">
        <f t="shared" si="94"/>
        <v>4.4837459996631295E-2</v>
      </c>
      <c r="H51" s="13">
        <f t="shared" si="94"/>
        <v>5.3064459316660796E-2</v>
      </c>
      <c r="I51" s="13">
        <f t="shared" si="94"/>
        <v>6.380434782608696E-2</v>
      </c>
      <c r="J51" s="13">
        <f t="shared" si="94"/>
        <v>6.380434782608696E-2</v>
      </c>
      <c r="K51" s="13">
        <f t="shared" si="94"/>
        <v>5.8197282608695652E-2</v>
      </c>
      <c r="L51" s="13">
        <f t="shared" si="94"/>
        <v>5.7618525749261289E-2</v>
      </c>
      <c r="M51" s="13">
        <f t="shared" si="94"/>
        <v>5.7051006887097494E-2</v>
      </c>
      <c r="N51" s="13">
        <f t="shared" si="94"/>
        <v>4.9067232608300461E-2</v>
      </c>
      <c r="O51" s="13"/>
      <c r="P51" s="14">
        <f t="shared" ref="P51:U51" si="95">P35/P27</f>
        <v>0.13194382056119547</v>
      </c>
      <c r="Q51" s="14">
        <f t="shared" si="95"/>
        <v>0.11542137516163491</v>
      </c>
      <c r="R51" s="14">
        <f t="shared" si="95"/>
        <v>8.9451704162737428E-2</v>
      </c>
      <c r="S51" s="14">
        <f t="shared" si="95"/>
        <v>7.3245921891231719E-2</v>
      </c>
      <c r="T51" s="14">
        <f t="shared" si="95"/>
        <v>5.6740853414458406E-2</v>
      </c>
      <c r="U51" s="14">
        <f t="shared" si="95"/>
        <v>5.5990370783548134E-2</v>
      </c>
      <c r="V51" s="14">
        <f t="shared" ref="V51:Z51" si="96">V35/V27</f>
        <v>6.238927030166793E-2</v>
      </c>
      <c r="W51" s="14">
        <f t="shared" si="96"/>
        <v>6.1322787048647957E-2</v>
      </c>
      <c r="X51" s="14">
        <f t="shared" si="96"/>
        <v>6.043405100446466E-2</v>
      </c>
      <c r="Y51" s="14">
        <f t="shared" si="96"/>
        <v>5.9693437634311911E-2</v>
      </c>
      <c r="Z51" s="14">
        <f t="shared" si="96"/>
        <v>5.9076259825851282E-2</v>
      </c>
      <c r="AA51" s="14"/>
      <c r="AB51" s="14"/>
      <c r="AC51" s="14"/>
      <c r="AD51" s="14"/>
      <c r="AE51" s="14"/>
    </row>
    <row r="52" spans="2:31" x14ac:dyDescent="0.2"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</row>
    <row r="53" spans="2:31" x14ac:dyDescent="0.2">
      <c r="B53" s="8" t="s">
        <v>41</v>
      </c>
      <c r="G53" s="13"/>
      <c r="H53" s="8">
        <f>H54-H55</f>
        <v>0</v>
      </c>
      <c r="I53" s="8">
        <f>I54-I55</f>
        <v>-81.800000000000182</v>
      </c>
      <c r="J53" s="8">
        <f>I53+J41</f>
        <v>203.75487608695636</v>
      </c>
      <c r="K53" s="8">
        <f t="shared" ref="K53:N53" si="97">J53+K41</f>
        <v>584.58538119184777</v>
      </c>
      <c r="L53" s="8">
        <f t="shared" si="97"/>
        <v>985.26670588900038</v>
      </c>
      <c r="M53" s="8">
        <f t="shared" si="97"/>
        <v>1406.5382875651717</v>
      </c>
      <c r="N53" s="8">
        <f t="shared" si="97"/>
        <v>2069.2356955603445</v>
      </c>
      <c r="R53" s="13"/>
      <c r="T53" s="8">
        <f>T54-T55</f>
        <v>-172.20000000000005</v>
      </c>
      <c r="U53" s="8">
        <f>J53</f>
        <v>203.75487608695636</v>
      </c>
      <c r="V53" s="8">
        <f>U53+V41</f>
        <v>2238.0443555998881</v>
      </c>
      <c r="W53" s="8">
        <f>V53+W41</f>
        <v>4846.7498015408792</v>
      </c>
      <c r="X53" s="8">
        <f>W53+X41</f>
        <v>8171.6973634270626</v>
      </c>
      <c r="Y53" s="8">
        <f>X53+Y41</f>
        <v>12388.763774500912</v>
      </c>
      <c r="Z53" s="8">
        <f>Y53+Z41</f>
        <v>17715.944706323327</v>
      </c>
    </row>
    <row r="54" spans="2:31" x14ac:dyDescent="0.2">
      <c r="B54" s="8" t="s">
        <v>4</v>
      </c>
      <c r="H54" s="8">
        <f>H57</f>
        <v>0</v>
      </c>
      <c r="I54" s="8">
        <f>I57</f>
        <v>2536.1</v>
      </c>
      <c r="S54" s="8">
        <f>S57</f>
        <v>440.459</v>
      </c>
      <c r="T54" s="8">
        <f>T57</f>
        <v>1669.8</v>
      </c>
      <c r="U54" s="8">
        <f>J54</f>
        <v>0</v>
      </c>
    </row>
    <row r="55" spans="2:31" x14ac:dyDescent="0.2">
      <c r="B55" s="8" t="s">
        <v>5</v>
      </c>
      <c r="H55" s="8">
        <f>SUM(H72:H74)</f>
        <v>0</v>
      </c>
      <c r="I55" s="8">
        <f>SUM(I72:I74)</f>
        <v>2617.9</v>
      </c>
      <c r="S55" s="8">
        <f>SUM(S72:S74)</f>
        <v>158.19999999999999</v>
      </c>
      <c r="T55" s="8">
        <f>SUM(T72:T74)</f>
        <v>1842</v>
      </c>
      <c r="U55" s="8">
        <f>J55</f>
        <v>0</v>
      </c>
    </row>
    <row r="57" spans="2:31" x14ac:dyDescent="0.2">
      <c r="B57" s="8" t="s">
        <v>4</v>
      </c>
      <c r="I57" s="8">
        <v>2536.1</v>
      </c>
      <c r="S57" s="8">
        <v>440.459</v>
      </c>
      <c r="T57" s="8">
        <v>1669.8</v>
      </c>
      <c r="U57" s="8">
        <f>J57</f>
        <v>0</v>
      </c>
    </row>
    <row r="58" spans="2:31" x14ac:dyDescent="0.2">
      <c r="B58" s="8" t="s">
        <v>50</v>
      </c>
      <c r="I58" s="8">
        <v>2642.5</v>
      </c>
      <c r="S58" s="8">
        <v>1148.3</v>
      </c>
      <c r="T58" s="8">
        <v>2737.3</v>
      </c>
      <c r="U58" s="8">
        <f t="shared" ref="U58:U63" si="98">J58</f>
        <v>0</v>
      </c>
    </row>
    <row r="59" spans="2:31" x14ac:dyDescent="0.2">
      <c r="B59" s="8" t="s">
        <v>51</v>
      </c>
      <c r="I59" s="8">
        <v>3870.2</v>
      </c>
      <c r="S59" s="8">
        <v>1445.6</v>
      </c>
      <c r="T59" s="8">
        <v>4333</v>
      </c>
      <c r="U59" s="8">
        <f t="shared" si="98"/>
        <v>0</v>
      </c>
    </row>
    <row r="60" spans="2:31" x14ac:dyDescent="0.2">
      <c r="B60" s="8" t="s">
        <v>52</v>
      </c>
      <c r="I60" s="8">
        <v>464.7</v>
      </c>
      <c r="S60" s="8">
        <v>145.1</v>
      </c>
      <c r="T60" s="8">
        <v>191.8</v>
      </c>
      <c r="U60" s="8">
        <f t="shared" si="98"/>
        <v>0</v>
      </c>
    </row>
    <row r="61" spans="2:31" x14ac:dyDescent="0.2">
      <c r="B61" s="8" t="s">
        <v>53</v>
      </c>
      <c r="I61" s="8">
        <v>492.6</v>
      </c>
      <c r="S61" s="8">
        <v>290.2</v>
      </c>
      <c r="T61" s="8">
        <v>414.1</v>
      </c>
      <c r="U61" s="8">
        <f t="shared" si="98"/>
        <v>0</v>
      </c>
    </row>
    <row r="62" spans="2:31" x14ac:dyDescent="0.2">
      <c r="B62" s="8" t="s">
        <v>54</v>
      </c>
      <c r="I62" s="8">
        <v>481.2</v>
      </c>
      <c r="S62" s="8">
        <v>162.6</v>
      </c>
      <c r="T62" s="8">
        <v>365.2</v>
      </c>
      <c r="U62" s="8">
        <f t="shared" si="98"/>
        <v>0</v>
      </c>
    </row>
    <row r="63" spans="2:31" x14ac:dyDescent="0.2">
      <c r="B63" s="8" t="s">
        <v>55</v>
      </c>
      <c r="I63" s="8">
        <v>251.2</v>
      </c>
      <c r="S63" s="8">
        <v>42.4</v>
      </c>
      <c r="T63" s="8">
        <v>114.95</v>
      </c>
      <c r="U63" s="8">
        <f t="shared" si="98"/>
        <v>0</v>
      </c>
    </row>
    <row r="64" spans="2:31" x14ac:dyDescent="0.2">
      <c r="B64" s="8" t="s">
        <v>56</v>
      </c>
      <c r="C64" s="8">
        <f>SUM(C57:C63)</f>
        <v>0</v>
      </c>
      <c r="D64" s="8">
        <f t="shared" ref="D64:P64" si="99">SUM(D57:D63)</f>
        <v>0</v>
      </c>
      <c r="E64" s="8">
        <f t="shared" si="99"/>
        <v>0</v>
      </c>
      <c r="F64" s="8">
        <f t="shared" si="99"/>
        <v>0</v>
      </c>
      <c r="G64" s="8">
        <f t="shared" si="99"/>
        <v>0</v>
      </c>
      <c r="H64" s="8">
        <f t="shared" si="99"/>
        <v>0</v>
      </c>
      <c r="I64" s="8">
        <f t="shared" si="99"/>
        <v>10738.500000000002</v>
      </c>
      <c r="J64" s="8">
        <f t="shared" si="99"/>
        <v>0</v>
      </c>
      <c r="K64" s="8">
        <f t="shared" si="99"/>
        <v>0</v>
      </c>
      <c r="L64" s="8">
        <f t="shared" si="99"/>
        <v>0</v>
      </c>
      <c r="M64" s="8">
        <f t="shared" si="99"/>
        <v>0</v>
      </c>
      <c r="N64" s="8">
        <f t="shared" si="99"/>
        <v>0</v>
      </c>
      <c r="P64" s="8">
        <f t="shared" si="99"/>
        <v>0</v>
      </c>
      <c r="Q64" s="8">
        <f t="shared" ref="Q64" si="100">SUM(Q57:Q63)</f>
        <v>0</v>
      </c>
      <c r="R64" s="8">
        <f t="shared" ref="R64" si="101">SUM(R57:R63)</f>
        <v>0</v>
      </c>
      <c r="S64" s="8">
        <f t="shared" ref="S64" si="102">SUM(S57:S63)</f>
        <v>3674.6589999999997</v>
      </c>
      <c r="T64" s="8">
        <f t="shared" ref="T64" si="103">SUM(T57:T63)</f>
        <v>9826.1500000000015</v>
      </c>
      <c r="U64" s="8">
        <f t="shared" ref="U64" si="104">SUM(U57:U63)</f>
        <v>0</v>
      </c>
      <c r="V64" s="8">
        <f t="shared" ref="V64" si="105">SUM(V57:V63)</f>
        <v>0</v>
      </c>
      <c r="W64" s="8">
        <f t="shared" ref="W64" si="106">SUM(W57:W63)</f>
        <v>0</v>
      </c>
      <c r="X64" s="8">
        <f t="shared" ref="X64" si="107">SUM(X57:X63)</f>
        <v>0</v>
      </c>
      <c r="Y64" s="8">
        <f t="shared" ref="Y64" si="108">SUM(Y57:Y63)</f>
        <v>0</v>
      </c>
      <c r="Z64" s="8">
        <f t="shared" ref="Z64" si="109">SUM(Z57:Z63)</f>
        <v>0</v>
      </c>
    </row>
    <row r="66" spans="2:26" x14ac:dyDescent="0.2">
      <c r="B66" s="8" t="s">
        <v>57</v>
      </c>
      <c r="I66" s="8">
        <v>643.1</v>
      </c>
      <c r="S66" s="8">
        <v>776.9</v>
      </c>
      <c r="T66" s="8">
        <v>1472.4</v>
      </c>
      <c r="U66" s="8">
        <f t="shared" ref="U66:U74" si="110">J66</f>
        <v>0</v>
      </c>
    </row>
    <row r="67" spans="2:26" x14ac:dyDescent="0.2">
      <c r="B67" s="8" t="s">
        <v>58</v>
      </c>
      <c r="I67" s="8">
        <v>344.7</v>
      </c>
      <c r="S67" s="8">
        <v>163.9</v>
      </c>
      <c r="T67" s="8">
        <v>259.7</v>
      </c>
      <c r="U67" s="8">
        <f t="shared" si="110"/>
        <v>0</v>
      </c>
    </row>
    <row r="68" spans="2:26" x14ac:dyDescent="0.2">
      <c r="B68" s="8" t="s">
        <v>63</v>
      </c>
      <c r="I68" s="8">
        <v>23.6</v>
      </c>
      <c r="S68" s="8">
        <v>129.19999999999999</v>
      </c>
      <c r="T68" s="8">
        <v>18.3</v>
      </c>
      <c r="U68" s="8">
        <f t="shared" si="110"/>
        <v>0</v>
      </c>
    </row>
    <row r="69" spans="2:26" x14ac:dyDescent="0.2">
      <c r="B69" s="8" t="s">
        <v>60</v>
      </c>
      <c r="I69" s="8">
        <v>63.97</v>
      </c>
      <c r="S69" s="8">
        <v>170.12</v>
      </c>
      <c r="T69" s="8">
        <v>402.4</v>
      </c>
      <c r="U69" s="8">
        <f t="shared" si="110"/>
        <v>0</v>
      </c>
    </row>
    <row r="70" spans="2:26" x14ac:dyDescent="0.2">
      <c r="B70" s="8" t="s">
        <v>62</v>
      </c>
      <c r="I70" s="8">
        <v>352.8</v>
      </c>
      <c r="S70" s="8">
        <v>134.66</v>
      </c>
      <c r="T70" s="8">
        <v>193.1</v>
      </c>
      <c r="U70" s="8">
        <f t="shared" si="110"/>
        <v>0</v>
      </c>
    </row>
    <row r="71" spans="2:26" x14ac:dyDescent="0.2">
      <c r="B71" s="8" t="s">
        <v>64</v>
      </c>
      <c r="I71" s="8">
        <v>312.99</v>
      </c>
      <c r="S71" s="8">
        <v>169.8</v>
      </c>
      <c r="T71" s="8">
        <v>223.3</v>
      </c>
      <c r="U71" s="8">
        <f t="shared" si="110"/>
        <v>0</v>
      </c>
    </row>
    <row r="72" spans="2:26" x14ac:dyDescent="0.2">
      <c r="B72" s="8" t="s">
        <v>65</v>
      </c>
      <c r="I72" s="8">
        <v>43</v>
      </c>
      <c r="S72" s="8">
        <v>120.2</v>
      </c>
      <c r="T72" s="8">
        <v>74</v>
      </c>
      <c r="U72" s="8">
        <f t="shared" si="110"/>
        <v>0</v>
      </c>
    </row>
    <row r="73" spans="2:26" x14ac:dyDescent="0.2">
      <c r="B73" s="8" t="s">
        <v>66</v>
      </c>
      <c r="I73" s="8">
        <v>2385.3000000000002</v>
      </c>
      <c r="S73" s="8">
        <v>0</v>
      </c>
      <c r="T73" s="8">
        <v>1700</v>
      </c>
      <c r="U73" s="8">
        <f t="shared" si="110"/>
        <v>0</v>
      </c>
    </row>
    <row r="74" spans="2:26" x14ac:dyDescent="0.2">
      <c r="B74" s="8" t="s">
        <v>67</v>
      </c>
      <c r="I74" s="8">
        <v>189.6</v>
      </c>
      <c r="S74" s="8">
        <v>38</v>
      </c>
      <c r="T74" s="8">
        <v>68</v>
      </c>
      <c r="U74" s="8">
        <f t="shared" si="110"/>
        <v>0</v>
      </c>
    </row>
    <row r="75" spans="2:26" x14ac:dyDescent="0.2">
      <c r="B75" s="8" t="s">
        <v>68</v>
      </c>
      <c r="C75" s="8">
        <f t="shared" ref="C75:N75" si="111">SUM(C66:C74)</f>
        <v>0</v>
      </c>
      <c r="D75" s="8">
        <f t="shared" si="111"/>
        <v>0</v>
      </c>
      <c r="E75" s="8">
        <f t="shared" si="111"/>
        <v>0</v>
      </c>
      <c r="F75" s="8">
        <f t="shared" si="111"/>
        <v>0</v>
      </c>
      <c r="G75" s="8">
        <f t="shared" si="111"/>
        <v>0</v>
      </c>
      <c r="H75" s="8">
        <f t="shared" si="111"/>
        <v>0</v>
      </c>
      <c r="I75" s="8">
        <f t="shared" si="111"/>
        <v>4359.0600000000004</v>
      </c>
      <c r="J75" s="8">
        <f t="shared" si="111"/>
        <v>0</v>
      </c>
      <c r="K75" s="8">
        <f t="shared" si="111"/>
        <v>0</v>
      </c>
      <c r="L75" s="8">
        <f t="shared" si="111"/>
        <v>0</v>
      </c>
      <c r="M75" s="8">
        <f t="shared" si="111"/>
        <v>0</v>
      </c>
      <c r="N75" s="8">
        <f t="shared" si="111"/>
        <v>0</v>
      </c>
      <c r="P75" s="8">
        <f t="shared" ref="P75:Z75" si="112">SUM(P66:P74)</f>
        <v>0</v>
      </c>
      <c r="Q75" s="8">
        <f t="shared" si="112"/>
        <v>0</v>
      </c>
      <c r="R75" s="8">
        <f t="shared" si="112"/>
        <v>0</v>
      </c>
      <c r="S75" s="8">
        <f t="shared" si="112"/>
        <v>1702.78</v>
      </c>
      <c r="T75" s="8">
        <f t="shared" si="112"/>
        <v>4411.2000000000007</v>
      </c>
      <c r="U75" s="8">
        <f t="shared" si="112"/>
        <v>0</v>
      </c>
      <c r="V75" s="8">
        <f t="shared" si="112"/>
        <v>0</v>
      </c>
      <c r="W75" s="8">
        <f t="shared" si="112"/>
        <v>0</v>
      </c>
      <c r="X75" s="8">
        <f t="shared" si="112"/>
        <v>0</v>
      </c>
      <c r="Y75" s="8">
        <f t="shared" si="112"/>
        <v>0</v>
      </c>
      <c r="Z75" s="8">
        <f t="shared" si="112"/>
        <v>0</v>
      </c>
    </row>
    <row r="76" spans="2:26" x14ac:dyDescent="0.2">
      <c r="B76" s="8" t="s">
        <v>69</v>
      </c>
      <c r="C76" s="8">
        <f t="shared" ref="C76:N76" si="113">C64-C75</f>
        <v>0</v>
      </c>
      <c r="D76" s="8">
        <f t="shared" si="113"/>
        <v>0</v>
      </c>
      <c r="E76" s="8">
        <f t="shared" si="113"/>
        <v>0</v>
      </c>
      <c r="F76" s="8">
        <f t="shared" si="113"/>
        <v>0</v>
      </c>
      <c r="G76" s="8">
        <f t="shared" si="113"/>
        <v>0</v>
      </c>
      <c r="H76" s="8">
        <f t="shared" si="113"/>
        <v>0</v>
      </c>
      <c r="I76" s="8">
        <f t="shared" si="113"/>
        <v>6379.4400000000014</v>
      </c>
      <c r="J76" s="8">
        <f t="shared" si="113"/>
        <v>0</v>
      </c>
      <c r="K76" s="8">
        <f t="shared" si="113"/>
        <v>0</v>
      </c>
      <c r="L76" s="8">
        <f t="shared" si="113"/>
        <v>0</v>
      </c>
      <c r="M76" s="8">
        <f t="shared" si="113"/>
        <v>0</v>
      </c>
      <c r="N76" s="8">
        <f t="shared" si="113"/>
        <v>0</v>
      </c>
      <c r="P76" s="8">
        <f t="shared" ref="P76:Z76" si="114">P64-P75</f>
        <v>0</v>
      </c>
      <c r="Q76" s="8">
        <f t="shared" si="114"/>
        <v>0</v>
      </c>
      <c r="R76" s="8">
        <f t="shared" si="114"/>
        <v>0</v>
      </c>
      <c r="S76" s="8">
        <f t="shared" si="114"/>
        <v>1971.8789999999997</v>
      </c>
      <c r="T76" s="8">
        <f t="shared" si="114"/>
        <v>5414.9500000000007</v>
      </c>
      <c r="U76" s="8">
        <f t="shared" si="114"/>
        <v>0</v>
      </c>
      <c r="V76" s="8">
        <f t="shared" si="114"/>
        <v>0</v>
      </c>
      <c r="W76" s="8">
        <f t="shared" si="114"/>
        <v>0</v>
      </c>
      <c r="X76" s="8">
        <f t="shared" si="114"/>
        <v>0</v>
      </c>
      <c r="Y76" s="8">
        <f t="shared" si="114"/>
        <v>0</v>
      </c>
      <c r="Z76" s="8">
        <f t="shared" si="114"/>
        <v>0</v>
      </c>
    </row>
    <row r="77" spans="2:26" x14ac:dyDescent="0.2">
      <c r="B77" s="8" t="s">
        <v>70</v>
      </c>
      <c r="C77" s="8">
        <f>C75+C76</f>
        <v>0</v>
      </c>
      <c r="D77" s="8">
        <f t="shared" ref="D77:P77" si="115">D75+D76</f>
        <v>0</v>
      </c>
      <c r="E77" s="8">
        <f t="shared" si="115"/>
        <v>0</v>
      </c>
      <c r="F77" s="8">
        <f t="shared" si="115"/>
        <v>0</v>
      </c>
      <c r="G77" s="8">
        <f t="shared" si="115"/>
        <v>0</v>
      </c>
      <c r="H77" s="8">
        <f t="shared" si="115"/>
        <v>0</v>
      </c>
      <c r="I77" s="8">
        <f t="shared" si="115"/>
        <v>10738.500000000002</v>
      </c>
      <c r="J77" s="8">
        <f t="shared" si="115"/>
        <v>0</v>
      </c>
      <c r="K77" s="8">
        <f t="shared" si="115"/>
        <v>0</v>
      </c>
      <c r="L77" s="8">
        <f t="shared" si="115"/>
        <v>0</v>
      </c>
      <c r="M77" s="8">
        <f t="shared" si="115"/>
        <v>0</v>
      </c>
      <c r="N77" s="8">
        <f t="shared" si="115"/>
        <v>0</v>
      </c>
      <c r="P77" s="8">
        <f t="shared" si="115"/>
        <v>0</v>
      </c>
      <c r="Q77" s="8">
        <f t="shared" ref="Q77" si="116">Q75+Q76</f>
        <v>0</v>
      </c>
      <c r="R77" s="8">
        <f t="shared" ref="R77" si="117">R75+R76</f>
        <v>0</v>
      </c>
      <c r="S77" s="8">
        <f t="shared" ref="S77" si="118">S75+S76</f>
        <v>3674.6589999999997</v>
      </c>
      <c r="T77" s="8">
        <f t="shared" ref="T77" si="119">T75+T76</f>
        <v>9826.1500000000015</v>
      </c>
      <c r="U77" s="8">
        <f t="shared" ref="U77" si="120">U75+U76</f>
        <v>0</v>
      </c>
      <c r="V77" s="8">
        <f t="shared" ref="V77" si="121">V75+V76</f>
        <v>0</v>
      </c>
      <c r="W77" s="8">
        <f t="shared" ref="W77" si="122">W75+W76</f>
        <v>0</v>
      </c>
      <c r="X77" s="8">
        <f t="shared" ref="X77" si="123">X75+X76</f>
        <v>0</v>
      </c>
      <c r="Y77" s="8">
        <f t="shared" ref="Y77" si="124">Y75+Y76</f>
        <v>0</v>
      </c>
      <c r="Z77" s="8">
        <f t="shared" ref="Z77" si="125">Z75+Z76</f>
        <v>0</v>
      </c>
    </row>
    <row r="79" spans="2:26" x14ac:dyDescent="0.2">
      <c r="B79" s="8" t="s">
        <v>71</v>
      </c>
      <c r="C79" s="8">
        <f>C58/C27*90</f>
        <v>0</v>
      </c>
      <c r="D79" s="8">
        <f t="shared" ref="D79:N79" si="126">D58/D27*90</f>
        <v>0</v>
      </c>
      <c r="E79" s="8">
        <f t="shared" si="126"/>
        <v>0</v>
      </c>
      <c r="F79" s="8">
        <f t="shared" si="126"/>
        <v>0</v>
      </c>
      <c r="G79" s="8">
        <f t="shared" si="126"/>
        <v>0</v>
      </c>
      <c r="H79" s="8">
        <f t="shared" si="126"/>
        <v>0</v>
      </c>
      <c r="I79" s="8">
        <f t="shared" si="126"/>
        <v>51.701086956521735</v>
      </c>
      <c r="J79" s="8">
        <f t="shared" si="126"/>
        <v>0</v>
      </c>
      <c r="K79" s="8">
        <f t="shared" si="126"/>
        <v>0</v>
      </c>
      <c r="L79" s="8">
        <f t="shared" si="126"/>
        <v>0</v>
      </c>
      <c r="M79" s="8">
        <f t="shared" si="126"/>
        <v>0</v>
      </c>
      <c r="N79" s="8">
        <f t="shared" si="126"/>
        <v>0</v>
      </c>
      <c r="P79" s="8">
        <f>P58/P27*360</f>
        <v>0</v>
      </c>
      <c r="Q79" s="8">
        <f t="shared" ref="Q79:R79" si="127">Q58/Q27*360</f>
        <v>0</v>
      </c>
      <c r="R79" s="8">
        <f t="shared" si="127"/>
        <v>0</v>
      </c>
      <c r="S79" s="8">
        <f>S58/S27*360</f>
        <v>58.032400258303625</v>
      </c>
      <c r="T79" s="8">
        <f>T58/T27*360</f>
        <v>65.742534624929945</v>
      </c>
      <c r="U79" s="8">
        <f t="shared" ref="U79:Z79" si="128">U58/U27*360</f>
        <v>0</v>
      </c>
      <c r="V79" s="8">
        <f t="shared" si="128"/>
        <v>0</v>
      </c>
      <c r="W79" s="8">
        <f t="shared" si="128"/>
        <v>0</v>
      </c>
      <c r="X79" s="8">
        <f t="shared" si="128"/>
        <v>0</v>
      </c>
      <c r="Y79" s="8">
        <f t="shared" si="128"/>
        <v>0</v>
      </c>
      <c r="Z79" s="8">
        <f t="shared" si="128"/>
        <v>0</v>
      </c>
    </row>
    <row r="81" spans="2:26" x14ac:dyDescent="0.2">
      <c r="B81" s="8" t="s">
        <v>72</v>
      </c>
      <c r="C81" s="8">
        <f>C41</f>
        <v>1568.5</v>
      </c>
      <c r="D81" s="8">
        <f t="shared" ref="D81:N81" si="129">D41</f>
        <v>417.00000000000017</v>
      </c>
      <c r="E81" s="8">
        <f t="shared" si="129"/>
        <v>402.00000000000017</v>
      </c>
      <c r="F81" s="8">
        <f t="shared" si="129"/>
        <v>353.20000000000016</v>
      </c>
      <c r="G81" s="8">
        <f t="shared" si="129"/>
        <v>424.39999999999964</v>
      </c>
      <c r="H81" s="8">
        <f t="shared" si="129"/>
        <v>318.30000000000035</v>
      </c>
      <c r="I81" s="8">
        <f t="shared" si="129"/>
        <v>110</v>
      </c>
      <c r="J81" s="8">
        <f t="shared" si="129"/>
        <v>285.55487608695654</v>
      </c>
      <c r="K81" s="8">
        <f t="shared" si="129"/>
        <v>380.83050510489136</v>
      </c>
      <c r="L81" s="8">
        <f t="shared" si="129"/>
        <v>400.6813246971526</v>
      </c>
      <c r="M81" s="8">
        <f t="shared" si="129"/>
        <v>421.27158167617142</v>
      </c>
      <c r="N81" s="8">
        <f t="shared" si="129"/>
        <v>662.69740799517285</v>
      </c>
      <c r="R81" s="8">
        <f>R41</f>
        <v>284.00000000000006</v>
      </c>
      <c r="S81" s="8">
        <f t="shared" ref="S81:Z81" si="130">S41</f>
        <v>650.64</v>
      </c>
      <c r="T81" s="8">
        <f t="shared" si="130"/>
        <v>1150.9500000000014</v>
      </c>
      <c r="U81" s="8">
        <f t="shared" si="130"/>
        <v>1138.2548760869565</v>
      </c>
      <c r="V81" s="8">
        <f t="shared" si="130"/>
        <v>2034.2894795129316</v>
      </c>
      <c r="W81" s="8">
        <f t="shared" si="130"/>
        <v>2608.705445940991</v>
      </c>
      <c r="X81" s="8">
        <f t="shared" si="130"/>
        <v>3324.9475618861834</v>
      </c>
      <c r="Y81" s="8">
        <f t="shared" si="130"/>
        <v>4217.0664110738498</v>
      </c>
      <c r="Z81" s="8">
        <f t="shared" si="130"/>
        <v>5327.180931822415</v>
      </c>
    </row>
    <row r="82" spans="2:26" x14ac:dyDescent="0.2">
      <c r="B82" s="8" t="s">
        <v>73</v>
      </c>
      <c r="I82" s="8">
        <v>853.7</v>
      </c>
      <c r="R82" s="8">
        <v>285.2</v>
      </c>
      <c r="S82" s="8">
        <v>640</v>
      </c>
      <c r="T82" s="8">
        <v>1152.7</v>
      </c>
    </row>
    <row r="83" spans="2:26" x14ac:dyDescent="0.2">
      <c r="B83" s="8" t="s">
        <v>74</v>
      </c>
      <c r="I83" s="8">
        <v>39.700000000000003</v>
      </c>
      <c r="R83" s="8">
        <v>32.5</v>
      </c>
      <c r="S83" s="8">
        <v>35</v>
      </c>
      <c r="T83" s="8">
        <v>41</v>
      </c>
    </row>
    <row r="84" spans="2:26" x14ac:dyDescent="0.2">
      <c r="B84" s="8" t="s">
        <v>75</v>
      </c>
      <c r="I84" s="8">
        <v>230.84</v>
      </c>
      <c r="R84" s="8">
        <v>32.799999999999997</v>
      </c>
      <c r="S84" s="8">
        <v>54.4</v>
      </c>
      <c r="T84" s="8">
        <v>231.5</v>
      </c>
    </row>
    <row r="85" spans="2:26" x14ac:dyDescent="0.2">
      <c r="B85" s="8" t="s">
        <v>76</v>
      </c>
      <c r="I85" s="8">
        <v>-2</v>
      </c>
      <c r="R85" s="8">
        <v>-1.2</v>
      </c>
      <c r="S85" s="8">
        <v>3.6</v>
      </c>
      <c r="T85" s="8">
        <v>-1.8</v>
      </c>
    </row>
    <row r="86" spans="2:26" x14ac:dyDescent="0.2">
      <c r="B86" s="8" t="s">
        <v>83</v>
      </c>
      <c r="I86" s="8">
        <v>2.7</v>
      </c>
      <c r="R86" s="8">
        <v>-13.7</v>
      </c>
      <c r="S86" s="8">
        <v>-2.6</v>
      </c>
      <c r="T86" s="8">
        <v>-0.5</v>
      </c>
    </row>
    <row r="87" spans="2:26" x14ac:dyDescent="0.2">
      <c r="B87" s="8" t="s">
        <v>54</v>
      </c>
      <c r="I87" s="8">
        <v>-134.4</v>
      </c>
      <c r="R87" s="8">
        <v>-6.8</v>
      </c>
      <c r="S87" s="8">
        <v>-93</v>
      </c>
      <c r="T87" s="8">
        <v>-168.5</v>
      </c>
    </row>
    <row r="88" spans="2:26" x14ac:dyDescent="0.2">
      <c r="B88" s="8" t="s">
        <v>77</v>
      </c>
      <c r="I88" s="8">
        <v>5.6</v>
      </c>
      <c r="R88" s="8">
        <v>0.4</v>
      </c>
      <c r="S88" s="8">
        <v>-0.7</v>
      </c>
      <c r="T88" s="8">
        <v>12.3</v>
      </c>
    </row>
    <row r="89" spans="2:26" x14ac:dyDescent="0.2">
      <c r="B89" s="8" t="s">
        <v>50</v>
      </c>
      <c r="I89" s="8">
        <v>94.8</v>
      </c>
      <c r="R89" s="8">
        <v>-372.4</v>
      </c>
      <c r="S89" s="8">
        <v>-311.89999999999998</v>
      </c>
      <c r="T89" s="8">
        <v>-1589</v>
      </c>
    </row>
    <row r="90" spans="2:26" x14ac:dyDescent="0.2">
      <c r="B90" s="8" t="s">
        <v>51</v>
      </c>
      <c r="I90" s="8">
        <v>457.9</v>
      </c>
      <c r="R90" s="8">
        <v>-504.6</v>
      </c>
      <c r="S90" s="8">
        <v>100</v>
      </c>
      <c r="T90" s="8">
        <v>-2900</v>
      </c>
    </row>
    <row r="91" spans="2:26" x14ac:dyDescent="0.2">
      <c r="B91" s="8" t="s">
        <v>52</v>
      </c>
      <c r="I91" s="8">
        <v>-284.3</v>
      </c>
      <c r="R91" s="8">
        <v>-29</v>
      </c>
      <c r="S91" s="8">
        <v>8.3000000000000007</v>
      </c>
      <c r="T91" s="8">
        <v>-44.7</v>
      </c>
    </row>
    <row r="92" spans="2:26" x14ac:dyDescent="0.2">
      <c r="B92" s="8" t="s">
        <v>57</v>
      </c>
      <c r="I92" s="8">
        <v>-811.7</v>
      </c>
      <c r="R92" s="8">
        <v>50.1</v>
      </c>
      <c r="S92" s="8">
        <v>127.1</v>
      </c>
      <c r="T92" s="8">
        <v>679.2</v>
      </c>
    </row>
    <row r="93" spans="2:26" x14ac:dyDescent="0.2">
      <c r="B93" s="8" t="s">
        <v>78</v>
      </c>
      <c r="I93" s="8">
        <v>52.7</v>
      </c>
      <c r="R93" s="8">
        <v>36</v>
      </c>
      <c r="S93" s="8">
        <v>-50.3</v>
      </c>
      <c r="T93" s="8">
        <v>93</v>
      </c>
    </row>
    <row r="94" spans="2:26" x14ac:dyDescent="0.2">
      <c r="B94" s="8" t="s">
        <v>59</v>
      </c>
      <c r="I94" s="8">
        <v>5.4</v>
      </c>
      <c r="R94" s="8">
        <v>29</v>
      </c>
      <c r="S94" s="8">
        <v>87.4</v>
      </c>
      <c r="T94" s="8">
        <v>-111</v>
      </c>
    </row>
    <row r="95" spans="2:26" x14ac:dyDescent="0.2">
      <c r="B95" s="8" t="s">
        <v>61</v>
      </c>
      <c r="I95" s="8">
        <v>250</v>
      </c>
      <c r="R95" s="8">
        <v>31.6</v>
      </c>
      <c r="S95" s="8">
        <v>70.599999999999994</v>
      </c>
      <c r="T95" s="8">
        <v>112</v>
      </c>
    </row>
    <row r="96" spans="2:26" x14ac:dyDescent="0.2">
      <c r="B96" s="8" t="s">
        <v>67</v>
      </c>
      <c r="I96" s="8">
        <v>5.4</v>
      </c>
      <c r="R96" s="8">
        <v>-10.5</v>
      </c>
      <c r="S96" s="8">
        <v>-4.4000000000000004</v>
      </c>
      <c r="T96" s="8">
        <v>8.0399999999999991</v>
      </c>
    </row>
    <row r="97" spans="1:122" s="2" customFormat="1" ht="15" x14ac:dyDescent="0.25">
      <c r="A97" s="8"/>
      <c r="B97" s="2" t="s">
        <v>16</v>
      </c>
      <c r="C97" s="2">
        <f>SUM(C82:C96)</f>
        <v>0</v>
      </c>
      <c r="D97" s="2">
        <f t="shared" ref="D97:H97" si="131">SUM(D82:D96)</f>
        <v>0</v>
      </c>
      <c r="E97" s="2">
        <f t="shared" si="131"/>
        <v>0</v>
      </c>
      <c r="F97" s="2">
        <f t="shared" si="131"/>
        <v>0</v>
      </c>
      <c r="G97" s="2">
        <f t="shared" si="131"/>
        <v>0</v>
      </c>
      <c r="H97" s="2">
        <f t="shared" si="131"/>
        <v>0</v>
      </c>
      <c r="I97" s="2">
        <f>SUM(I82:I96)</f>
        <v>766.34</v>
      </c>
      <c r="J97" s="2">
        <f>SUM(J83:J96,J81)</f>
        <v>285.55487608695654</v>
      </c>
      <c r="K97" s="2">
        <f t="shared" ref="K97:N97" si="132">SUM(K83:K96,K81)</f>
        <v>380.83050510489136</v>
      </c>
      <c r="L97" s="2">
        <f t="shared" si="132"/>
        <v>400.6813246971526</v>
      </c>
      <c r="M97" s="2">
        <f t="shared" si="132"/>
        <v>421.27158167617142</v>
      </c>
      <c r="N97" s="2">
        <f t="shared" si="132"/>
        <v>662.69740799517285</v>
      </c>
      <c r="R97" s="2">
        <f>SUM(R82:R96)</f>
        <v>-440.59999999999991</v>
      </c>
      <c r="S97" s="2">
        <f>SUM(S82:S96)</f>
        <v>663.5</v>
      </c>
      <c r="T97" s="2">
        <f>SUM(T82:T96)</f>
        <v>-2485.7600000000002</v>
      </c>
      <c r="U97" s="2">
        <f t="shared" ref="U97:Z97" si="133">SUM(U83:U96,U81)</f>
        <v>1138.2548760869565</v>
      </c>
      <c r="V97" s="2">
        <f t="shared" si="133"/>
        <v>2034.2894795129316</v>
      </c>
      <c r="W97" s="2">
        <f t="shared" si="133"/>
        <v>2608.705445940991</v>
      </c>
      <c r="X97" s="2">
        <f t="shared" si="133"/>
        <v>3324.9475618861834</v>
      </c>
      <c r="Y97" s="2">
        <f t="shared" si="133"/>
        <v>4217.0664110738498</v>
      </c>
      <c r="Z97" s="2">
        <f t="shared" si="133"/>
        <v>5327.180931822415</v>
      </c>
    </row>
    <row r="98" spans="1:122" x14ac:dyDescent="0.2">
      <c r="B98" s="8" t="s">
        <v>79</v>
      </c>
      <c r="I98" s="8">
        <v>-104.5</v>
      </c>
      <c r="R98" s="8">
        <v>-45.2</v>
      </c>
      <c r="S98" s="8">
        <v>-36.799999999999997</v>
      </c>
      <c r="T98" s="8">
        <v>-124.3</v>
      </c>
      <c r="U98" s="8">
        <f>T98*(1+U45)</f>
        <v>-184.22093907613481</v>
      </c>
      <c r="V98" s="8">
        <f t="shared" ref="V98:Z98" si="134">U98*(1+V45)</f>
        <v>-323.4128572572252</v>
      </c>
      <c r="W98" s="8">
        <f t="shared" si="134"/>
        <v>-381.46131881621437</v>
      </c>
      <c r="X98" s="8">
        <f t="shared" si="134"/>
        <v>-451.11947268700135</v>
      </c>
      <c r="Y98" s="8">
        <f t="shared" si="134"/>
        <v>-534.70925733194576</v>
      </c>
      <c r="Z98" s="8">
        <f t="shared" si="134"/>
        <v>-635.01699890587895</v>
      </c>
    </row>
    <row r="99" spans="1:122" x14ac:dyDescent="0.2">
      <c r="B99" s="8" t="s">
        <v>80</v>
      </c>
      <c r="I99" s="8">
        <v>0</v>
      </c>
      <c r="R99" s="8">
        <v>-1.1000000000000001</v>
      </c>
      <c r="S99" s="8">
        <v>-0.5</v>
      </c>
      <c r="T99" s="8">
        <v>-69.7</v>
      </c>
    </row>
    <row r="100" spans="1:122" x14ac:dyDescent="0.2">
      <c r="B100" s="8" t="s">
        <v>81</v>
      </c>
      <c r="I100" s="8">
        <v>0</v>
      </c>
      <c r="R100" s="8">
        <v>0</v>
      </c>
      <c r="S100" s="8">
        <v>-2.2000000000000002</v>
      </c>
      <c r="T100" s="8">
        <v>-0.3</v>
      </c>
    </row>
    <row r="101" spans="1:122" s="2" customFormat="1" ht="15" x14ac:dyDescent="0.25">
      <c r="A101" s="8"/>
      <c r="B101" s="2" t="s">
        <v>82</v>
      </c>
      <c r="C101" s="2">
        <f>C98</f>
        <v>0</v>
      </c>
      <c r="D101" s="2">
        <f t="shared" ref="D101:N101" si="135">D98</f>
        <v>0</v>
      </c>
      <c r="E101" s="2">
        <f t="shared" si="135"/>
        <v>0</v>
      </c>
      <c r="F101" s="2">
        <f t="shared" si="135"/>
        <v>0</v>
      </c>
      <c r="G101" s="2">
        <f t="shared" si="135"/>
        <v>0</v>
      </c>
      <c r="H101" s="2">
        <f t="shared" si="135"/>
        <v>0</v>
      </c>
      <c r="I101" s="2">
        <f t="shared" si="135"/>
        <v>-104.5</v>
      </c>
      <c r="J101" s="2">
        <v>-50</v>
      </c>
      <c r="K101" s="2">
        <f t="shared" si="135"/>
        <v>0</v>
      </c>
      <c r="L101" s="2">
        <f t="shared" si="135"/>
        <v>0</v>
      </c>
      <c r="M101" s="2">
        <f t="shared" si="135"/>
        <v>0</v>
      </c>
      <c r="N101" s="2">
        <f t="shared" si="135"/>
        <v>0</v>
      </c>
      <c r="R101" s="2">
        <f>R98</f>
        <v>-45.2</v>
      </c>
      <c r="S101" s="2">
        <f t="shared" ref="S101:Z101" si="136">S98</f>
        <v>-36.799999999999997</v>
      </c>
      <c r="T101" s="2">
        <f t="shared" si="136"/>
        <v>-124.3</v>
      </c>
      <c r="U101" s="2">
        <f t="shared" si="136"/>
        <v>-184.22093907613481</v>
      </c>
      <c r="V101" s="2">
        <f t="shared" si="136"/>
        <v>-323.4128572572252</v>
      </c>
      <c r="W101" s="2">
        <f t="shared" si="136"/>
        <v>-381.46131881621437</v>
      </c>
      <c r="X101" s="2">
        <f t="shared" si="136"/>
        <v>-451.11947268700135</v>
      </c>
      <c r="Y101" s="2">
        <f t="shared" si="136"/>
        <v>-534.70925733194576</v>
      </c>
      <c r="Z101" s="2">
        <f t="shared" si="136"/>
        <v>-635.01699890587895</v>
      </c>
    </row>
    <row r="102" spans="1:122" s="2" customFormat="1" ht="15" x14ac:dyDescent="0.25">
      <c r="A102" s="8"/>
      <c r="B102" s="2" t="s">
        <v>15</v>
      </c>
      <c r="C102" s="2">
        <f>C97+C101</f>
        <v>0</v>
      </c>
      <c r="D102" s="2">
        <f t="shared" ref="D102:N102" si="137">D97+D101</f>
        <v>0</v>
      </c>
      <c r="E102" s="2">
        <f t="shared" si="137"/>
        <v>0</v>
      </c>
      <c r="F102" s="2">
        <f t="shared" si="137"/>
        <v>0</v>
      </c>
      <c r="G102" s="2">
        <f t="shared" si="137"/>
        <v>0</v>
      </c>
      <c r="H102" s="2">
        <f t="shared" si="137"/>
        <v>0</v>
      </c>
      <c r="I102" s="2">
        <f t="shared" si="137"/>
        <v>661.84</v>
      </c>
      <c r="J102" s="2">
        <f t="shared" si="137"/>
        <v>235.55487608695654</v>
      </c>
      <c r="K102" s="2">
        <f t="shared" si="137"/>
        <v>380.83050510489136</v>
      </c>
      <c r="L102" s="2">
        <f t="shared" si="137"/>
        <v>400.6813246971526</v>
      </c>
      <c r="M102" s="2">
        <f t="shared" si="137"/>
        <v>421.27158167617142</v>
      </c>
      <c r="N102" s="2">
        <f t="shared" si="137"/>
        <v>662.69740799517285</v>
      </c>
      <c r="R102" s="2">
        <f>R97+R101</f>
        <v>-485.7999999999999</v>
      </c>
      <c r="S102" s="2">
        <f t="shared" ref="S102:T102" si="138">S97+S101</f>
        <v>626.70000000000005</v>
      </c>
      <c r="T102" s="2">
        <f t="shared" si="138"/>
        <v>-2610.0600000000004</v>
      </c>
      <c r="U102" s="2">
        <f t="shared" ref="U102" si="139">U97+U101</f>
        <v>954.03393701082177</v>
      </c>
      <c r="V102" s="2">
        <f t="shared" ref="V102" si="140">V97+V101</f>
        <v>1710.8766222557065</v>
      </c>
      <c r="W102" s="2">
        <f t="shared" ref="W102" si="141">W97+W101</f>
        <v>2227.2441271247767</v>
      </c>
      <c r="X102" s="2">
        <f t="shared" ref="X102" si="142">X97+X101</f>
        <v>2873.8280891991822</v>
      </c>
      <c r="Y102" s="2">
        <f t="shared" ref="Y102" si="143">Y97+Y101</f>
        <v>3682.3571537419039</v>
      </c>
      <c r="Z102" s="2">
        <f t="shared" ref="Z102" si="144">Z97+Z101</f>
        <v>4692.1639329165364</v>
      </c>
      <c r="AA102" s="2">
        <f t="shared" ref="AA102:BF102" si="145">Z102*(1+$AC$46)</f>
        <v>4739.0855722457018</v>
      </c>
      <c r="AB102" s="2">
        <f t="shared" si="145"/>
        <v>4786.4764279681585</v>
      </c>
      <c r="AC102" s="2">
        <f t="shared" si="145"/>
        <v>4834.3411922478399</v>
      </c>
      <c r="AD102" s="2">
        <f t="shared" si="145"/>
        <v>4882.6846041703184</v>
      </c>
      <c r="AE102" s="2">
        <f t="shared" si="145"/>
        <v>4931.5114502120214</v>
      </c>
      <c r="AF102" s="2">
        <f t="shared" si="145"/>
        <v>4980.8265647141416</v>
      </c>
      <c r="AG102" s="2">
        <f t="shared" si="145"/>
        <v>5030.6348303612831</v>
      </c>
      <c r="AH102" s="2">
        <f t="shared" si="145"/>
        <v>5080.9411786648961</v>
      </c>
      <c r="AI102" s="2">
        <f t="shared" si="145"/>
        <v>5131.7505904515456</v>
      </c>
      <c r="AJ102" s="2">
        <f t="shared" si="145"/>
        <v>5183.0680963560608</v>
      </c>
      <c r="AK102" s="2">
        <f t="shared" si="145"/>
        <v>5234.8987773196213</v>
      </c>
      <c r="AL102" s="2">
        <f t="shared" si="145"/>
        <v>5287.2477650928176</v>
      </c>
      <c r="AM102" s="2">
        <f t="shared" si="145"/>
        <v>5340.1202427437456</v>
      </c>
      <c r="AN102" s="2">
        <f t="shared" si="145"/>
        <v>5393.5214451711827</v>
      </c>
      <c r="AO102" s="2">
        <f t="shared" si="145"/>
        <v>5447.4566596228942</v>
      </c>
      <c r="AP102" s="2">
        <f t="shared" si="145"/>
        <v>5501.9312262191233</v>
      </c>
      <c r="AQ102" s="2">
        <f t="shared" si="145"/>
        <v>5556.9505384813147</v>
      </c>
      <c r="AR102" s="2">
        <f t="shared" si="145"/>
        <v>5612.5200438661277</v>
      </c>
      <c r="AS102" s="2">
        <f t="shared" si="145"/>
        <v>5668.6452443047892</v>
      </c>
      <c r="AT102" s="2">
        <f t="shared" si="145"/>
        <v>5725.3316967478368</v>
      </c>
      <c r="AU102" s="2">
        <f t="shared" si="145"/>
        <v>5782.5850137153147</v>
      </c>
      <c r="AV102" s="2">
        <f t="shared" si="145"/>
        <v>5840.4108638524676</v>
      </c>
      <c r="AW102" s="2">
        <f t="shared" si="145"/>
        <v>5898.8149724909927</v>
      </c>
      <c r="AX102" s="2">
        <f t="shared" si="145"/>
        <v>5957.8031222159025</v>
      </c>
      <c r="AY102" s="2">
        <f t="shared" si="145"/>
        <v>6017.3811534380611</v>
      </c>
      <c r="AZ102" s="2">
        <f t="shared" si="145"/>
        <v>6077.5549649724417</v>
      </c>
      <c r="BA102" s="2">
        <f t="shared" si="145"/>
        <v>6138.3305146221664</v>
      </c>
      <c r="BB102" s="2">
        <f t="shared" si="145"/>
        <v>6199.713819768388</v>
      </c>
      <c r="BC102" s="2">
        <f t="shared" si="145"/>
        <v>6261.7109579660719</v>
      </c>
      <c r="BD102" s="2">
        <f t="shared" si="145"/>
        <v>6324.3280675457327</v>
      </c>
      <c r="BE102" s="2">
        <f t="shared" si="145"/>
        <v>6387.5713482211904</v>
      </c>
      <c r="BF102" s="2">
        <f t="shared" si="145"/>
        <v>6451.4470617034021</v>
      </c>
      <c r="BG102" s="2">
        <f t="shared" ref="BG102:CL102" si="146">BF102*(1+$AC$46)</f>
        <v>6515.9615323204362</v>
      </c>
      <c r="BH102" s="2">
        <f t="shared" si="146"/>
        <v>6581.1211476436401</v>
      </c>
      <c r="BI102" s="2">
        <f t="shared" si="146"/>
        <v>6646.9323591200764</v>
      </c>
      <c r="BJ102" s="2">
        <f t="shared" si="146"/>
        <v>6713.4016827112773</v>
      </c>
      <c r="BK102" s="2">
        <f t="shared" si="146"/>
        <v>6780.53569953839</v>
      </c>
      <c r="BL102" s="2">
        <f t="shared" si="146"/>
        <v>6848.3410565337736</v>
      </c>
      <c r="BM102" s="2">
        <f t="shared" si="146"/>
        <v>6916.8244670991116</v>
      </c>
      <c r="BN102" s="2">
        <f t="shared" si="146"/>
        <v>6985.9927117701027</v>
      </c>
      <c r="BO102" s="2">
        <f t="shared" si="146"/>
        <v>7055.8526388878036</v>
      </c>
      <c r="BP102" s="2">
        <f t="shared" si="146"/>
        <v>7126.4111652766815</v>
      </c>
      <c r="BQ102" s="2">
        <f t="shared" si="146"/>
        <v>7197.675276929448</v>
      </c>
      <c r="BR102" s="2">
        <f t="shared" si="146"/>
        <v>7269.6520296987428</v>
      </c>
      <c r="BS102" s="2">
        <f t="shared" si="146"/>
        <v>7342.3485499957305</v>
      </c>
      <c r="BT102" s="2">
        <f t="shared" si="146"/>
        <v>7415.7720354956882</v>
      </c>
      <c r="BU102" s="2">
        <f t="shared" si="146"/>
        <v>7489.9297558506451</v>
      </c>
      <c r="BV102" s="2">
        <f t="shared" si="146"/>
        <v>7564.8290534091511</v>
      </c>
      <c r="BW102" s="2">
        <f t="shared" si="146"/>
        <v>7640.4773439432429</v>
      </c>
      <c r="BX102" s="2">
        <f t="shared" si="146"/>
        <v>7716.8821173826755</v>
      </c>
      <c r="BY102" s="2">
        <f t="shared" si="146"/>
        <v>7794.0509385565019</v>
      </c>
      <c r="BZ102" s="2">
        <f t="shared" si="146"/>
        <v>7871.9914479420668</v>
      </c>
      <c r="CA102" s="2">
        <f t="shared" si="146"/>
        <v>7950.7113624214871</v>
      </c>
      <c r="CB102" s="2">
        <f t="shared" si="146"/>
        <v>8030.2184760457021</v>
      </c>
      <c r="CC102" s="2">
        <f t="shared" si="146"/>
        <v>8110.520660806159</v>
      </c>
      <c r="CD102" s="2">
        <f t="shared" si="146"/>
        <v>8191.6258674142209</v>
      </c>
      <c r="CE102" s="2">
        <f t="shared" si="146"/>
        <v>8273.5421260883631</v>
      </c>
      <c r="CF102" s="2">
        <f t="shared" si="146"/>
        <v>8356.2775473492475</v>
      </c>
      <c r="CG102" s="2">
        <f t="shared" si="146"/>
        <v>8439.8403228227398</v>
      </c>
      <c r="CH102" s="2">
        <f t="shared" si="146"/>
        <v>8524.2387260509677</v>
      </c>
      <c r="CI102" s="2">
        <f t="shared" si="146"/>
        <v>8609.4811133114781</v>
      </c>
      <c r="CJ102" s="2">
        <f t="shared" si="146"/>
        <v>8695.5759244445926</v>
      </c>
      <c r="CK102" s="2">
        <f t="shared" si="146"/>
        <v>8782.5316836890379</v>
      </c>
      <c r="CL102" s="2">
        <f t="shared" si="146"/>
        <v>8870.357000525928</v>
      </c>
      <c r="CM102" s="2">
        <f t="shared" ref="CM102:DR102" si="147">CL102*(1+$AC$46)</f>
        <v>8959.0605705311882</v>
      </c>
      <c r="CN102" s="2">
        <f t="shared" si="147"/>
        <v>9048.6511762365008</v>
      </c>
      <c r="CO102" s="2">
        <f t="shared" si="147"/>
        <v>9139.1376879988657</v>
      </c>
      <c r="CP102" s="2">
        <f t="shared" si="147"/>
        <v>9230.5290648788541</v>
      </c>
      <c r="CQ102" s="2">
        <f t="shared" si="147"/>
        <v>9322.8343555276424</v>
      </c>
      <c r="CR102" s="2">
        <f t="shared" si="147"/>
        <v>9416.0626990829187</v>
      </c>
      <c r="CS102" s="2">
        <f t="shared" si="147"/>
        <v>9510.2233260737485</v>
      </c>
      <c r="CT102" s="2">
        <f t="shared" si="147"/>
        <v>9605.3255593344857</v>
      </c>
      <c r="CU102" s="2">
        <f t="shared" si="147"/>
        <v>9701.3788149278298</v>
      </c>
      <c r="CV102" s="2">
        <f t="shared" si="147"/>
        <v>9798.392603077109</v>
      </c>
      <c r="CW102" s="2">
        <f t="shared" si="147"/>
        <v>9896.3765291078798</v>
      </c>
      <c r="CX102" s="2">
        <f t="shared" si="147"/>
        <v>9995.3402943989586</v>
      </c>
      <c r="CY102" s="2">
        <f t="shared" si="147"/>
        <v>10095.293697342948</v>
      </c>
      <c r="CZ102" s="2">
        <f t="shared" si="147"/>
        <v>10196.246634316378</v>
      </c>
      <c r="DA102" s="2">
        <f t="shared" si="147"/>
        <v>10298.209100659542</v>
      </c>
      <c r="DB102" s="2">
        <f t="shared" si="147"/>
        <v>10401.191191666137</v>
      </c>
      <c r="DC102" s="2">
        <f t="shared" si="147"/>
        <v>10505.203103582799</v>
      </c>
      <c r="DD102" s="2">
        <f t="shared" si="147"/>
        <v>10610.255134618626</v>
      </c>
      <c r="DE102" s="2">
        <f t="shared" si="147"/>
        <v>10716.357685964813</v>
      </c>
      <c r="DF102" s="2">
        <f t="shared" si="147"/>
        <v>10823.521262824461</v>
      </c>
      <c r="DG102" s="2">
        <f t="shared" si="147"/>
        <v>10931.756475452705</v>
      </c>
      <c r="DH102" s="2">
        <f t="shared" si="147"/>
        <v>11041.074040207232</v>
      </c>
      <c r="DI102" s="2">
        <f t="shared" si="147"/>
        <v>11151.484780609304</v>
      </c>
      <c r="DJ102" s="2">
        <f t="shared" si="147"/>
        <v>11262.999628415397</v>
      </c>
      <c r="DK102" s="2">
        <f t="shared" si="147"/>
        <v>11375.629624699552</v>
      </c>
      <c r="DL102" s="2">
        <f t="shared" si="147"/>
        <v>11489.385920946548</v>
      </c>
      <c r="DM102" s="2">
        <f t="shared" si="147"/>
        <v>11604.279780156014</v>
      </c>
      <c r="DN102" s="2">
        <f t="shared" si="147"/>
        <v>11720.322577957573</v>
      </c>
      <c r="DO102" s="2">
        <f t="shared" si="147"/>
        <v>11837.52580373715</v>
      </c>
      <c r="DP102" s="2">
        <f t="shared" si="147"/>
        <v>11955.901061774521</v>
      </c>
      <c r="DQ102" s="2">
        <f t="shared" si="147"/>
        <v>12075.460072392267</v>
      </c>
      <c r="DR102" s="2">
        <f t="shared" si="147"/>
        <v>12196.21467311619</v>
      </c>
    </row>
  </sheetData>
  <hyperlinks>
    <hyperlink ref="A1" location="main!A1" display="Main" xr:uid="{59AA8257-1596-43FF-803F-69279BD13128}"/>
  </hyperlink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2025-02-12T01:52:33Z</dcterms:created>
  <dcterms:modified xsi:type="dcterms:W3CDTF">2025-05-15T01:46:43Z</dcterms:modified>
</cp:coreProperties>
</file>