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D9276CF-235A-4ECE-826B-7CCD9AF9A694}" xr6:coauthVersionLast="47" xr6:coauthVersionMax="47" xr10:uidLastSave="{00000000-0000-0000-0000-000000000000}"/>
  <bookViews>
    <workbookView xWindow="2235" yWindow="1170" windowWidth="21945" windowHeight="13935" activeTab="1" xr2:uid="{B5255683-9904-4B96-B116-504FB2085B5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" i="2" l="1"/>
  <c r="S9" i="2"/>
  <c r="T9" i="2" s="1"/>
  <c r="U9" i="2" s="1"/>
  <c r="R9" i="2"/>
  <c r="Q16" i="2"/>
  <c r="R16" i="2" s="1"/>
  <c r="S16" i="2" s="1"/>
  <c r="T16" i="2" s="1"/>
  <c r="U16" i="2" s="1"/>
  <c r="V16" i="2" s="1"/>
  <c r="Q17" i="2"/>
  <c r="R17" i="2" s="1"/>
  <c r="S17" i="2" s="1"/>
  <c r="T17" i="2" s="1"/>
  <c r="U17" i="2" s="1"/>
  <c r="V17" i="2" s="1"/>
  <c r="P28" i="2"/>
  <c r="O28" i="2"/>
  <c r="I9" i="2"/>
  <c r="J9" i="2" s="1"/>
  <c r="Q71" i="2"/>
  <c r="R71" i="2" s="1"/>
  <c r="S71" i="2" s="1"/>
  <c r="T71" i="2" s="1"/>
  <c r="U71" i="2" s="1"/>
  <c r="V71" i="2" s="1"/>
  <c r="O5" i="1"/>
  <c r="O83" i="2"/>
  <c r="P83" i="2"/>
  <c r="N83" i="2"/>
  <c r="O91" i="2"/>
  <c r="P91" i="2"/>
  <c r="N91" i="2"/>
  <c r="P62" i="2"/>
  <c r="O62" i="2"/>
  <c r="O37" i="2"/>
  <c r="P36" i="2"/>
  <c r="O36" i="2"/>
  <c r="P49" i="2"/>
  <c r="O49" i="2"/>
  <c r="R32" i="2"/>
  <c r="S32" i="2" s="1"/>
  <c r="T32" i="2" s="1"/>
  <c r="U32" i="2" s="1"/>
  <c r="V32" i="2" s="1"/>
  <c r="P37" i="2"/>
  <c r="O8" i="1"/>
  <c r="P20" i="2"/>
  <c r="O20" i="2"/>
  <c r="N20" i="2"/>
  <c r="O18" i="2"/>
  <c r="P18" i="2"/>
  <c r="N18" i="2"/>
  <c r="O13" i="2"/>
  <c r="P13" i="2"/>
  <c r="N13" i="2"/>
  <c r="O9" i="2"/>
  <c r="P9" i="2"/>
  <c r="N9" i="2"/>
  <c r="L35" i="2"/>
  <c r="M35" i="2"/>
  <c r="N35" i="2"/>
  <c r="G37" i="2"/>
  <c r="G36" i="2"/>
  <c r="M1" i="2"/>
  <c r="N1" i="2" s="1"/>
  <c r="O1" i="2" s="1"/>
  <c r="P1" i="2" s="1"/>
  <c r="Q1" i="2" s="1"/>
  <c r="R1" i="2" s="1"/>
  <c r="S1" i="2" s="1"/>
  <c r="T1" i="2" s="1"/>
  <c r="U1" i="2" s="1"/>
  <c r="V1" i="2" s="1"/>
  <c r="O6" i="1"/>
  <c r="O4" i="1"/>
  <c r="O7" i="1" s="1"/>
  <c r="Q28" i="2" l="1"/>
  <c r="N33" i="2"/>
  <c r="O35" i="2"/>
  <c r="V27" i="2"/>
  <c r="V13" i="2"/>
  <c r="V14" i="2" s="1"/>
  <c r="O92" i="2"/>
  <c r="P92" i="2"/>
  <c r="O33" i="2"/>
  <c r="P63" i="2"/>
  <c r="P64" i="2" s="1"/>
  <c r="P33" i="2"/>
  <c r="O63" i="2"/>
  <c r="O64" i="2" s="1"/>
  <c r="N92" i="2"/>
  <c r="P66" i="2"/>
  <c r="O66" i="2"/>
  <c r="N14" i="2"/>
  <c r="N30" i="2" s="1"/>
  <c r="G35" i="2"/>
  <c r="P27" i="2"/>
  <c r="P35" i="2"/>
  <c r="Q20" i="2" s="1"/>
  <c r="O27" i="2"/>
  <c r="Q27" i="2"/>
  <c r="Q13" i="2"/>
  <c r="Q14" i="2" s="1"/>
  <c r="R27" i="2"/>
  <c r="R13" i="2"/>
  <c r="R14" i="2" s="1"/>
  <c r="P14" i="2"/>
  <c r="P30" i="2" s="1"/>
  <c r="O14" i="2"/>
  <c r="O30" i="2" s="1"/>
  <c r="N19" i="2" l="1"/>
  <c r="Q15" i="2"/>
  <c r="R77" i="2"/>
  <c r="Q73" i="2"/>
  <c r="R73" i="2" s="1"/>
  <c r="Q75" i="2"/>
  <c r="R75" i="2" s="1"/>
  <c r="Q74" i="2"/>
  <c r="R74" i="2" s="1"/>
  <c r="Q70" i="2"/>
  <c r="R70" i="2" s="1"/>
  <c r="R82" i="2"/>
  <c r="Q81" i="2"/>
  <c r="R81" i="2" s="1"/>
  <c r="Q80" i="2"/>
  <c r="R80" i="2" s="1"/>
  <c r="Q79" i="2"/>
  <c r="R79" i="2" s="1"/>
  <c r="Q78" i="2"/>
  <c r="R78" i="2" s="1"/>
  <c r="Q76" i="2"/>
  <c r="R76" i="2" s="1"/>
  <c r="Q72" i="2"/>
  <c r="R72" i="2" s="1"/>
  <c r="N21" i="2"/>
  <c r="N31" i="2"/>
  <c r="R91" i="2"/>
  <c r="R15" i="2"/>
  <c r="R28" i="2"/>
  <c r="O19" i="2"/>
  <c r="Q18" i="2"/>
  <c r="P19" i="2"/>
  <c r="Q19" i="2" l="1"/>
  <c r="Q33" i="2"/>
  <c r="O21" i="2"/>
  <c r="O23" i="2" s="1"/>
  <c r="O31" i="2"/>
  <c r="N23" i="2"/>
  <c r="P21" i="2"/>
  <c r="P31" i="2"/>
  <c r="R18" i="2"/>
  <c r="S13" i="2"/>
  <c r="S14" i="2" s="1"/>
  <c r="S27" i="2"/>
  <c r="S70" i="2" s="1"/>
  <c r="P23" i="2" l="1"/>
  <c r="P25" i="2"/>
  <c r="P68" i="2"/>
  <c r="P32" i="2" s="1"/>
  <c r="N25" i="2"/>
  <c r="N68" i="2"/>
  <c r="N32" i="2" s="1"/>
  <c r="O25" i="2"/>
  <c r="O68" i="2"/>
  <c r="O32" i="2" s="1"/>
  <c r="Q21" i="2"/>
  <c r="Q31" i="2"/>
  <c r="S78" i="2"/>
  <c r="S91" i="2"/>
  <c r="S73" i="2"/>
  <c r="S75" i="2"/>
  <c r="T75" i="2" s="1"/>
  <c r="S76" i="2"/>
  <c r="T76" i="2" s="1"/>
  <c r="S81" i="2"/>
  <c r="S74" i="2"/>
  <c r="T74" i="2" s="1"/>
  <c r="S72" i="2"/>
  <c r="S82" i="2"/>
  <c r="R19" i="2"/>
  <c r="R31" i="2" s="1"/>
  <c r="R33" i="2"/>
  <c r="S79" i="2"/>
  <c r="S80" i="2"/>
  <c r="S77" i="2"/>
  <c r="S28" i="2"/>
  <c r="S15" i="2"/>
  <c r="T27" i="2"/>
  <c r="T70" i="2" s="1"/>
  <c r="T13" i="2"/>
  <c r="T14" i="2" s="1"/>
  <c r="Q22" i="2" l="1"/>
  <c r="Q23" i="2" s="1"/>
  <c r="T73" i="2"/>
  <c r="T78" i="2"/>
  <c r="T72" i="2"/>
  <c r="T82" i="2"/>
  <c r="T77" i="2"/>
  <c r="T80" i="2"/>
  <c r="T79" i="2"/>
  <c r="T91" i="2"/>
  <c r="T81" i="2"/>
  <c r="T15" i="2"/>
  <c r="T28" i="2"/>
  <c r="U27" i="2"/>
  <c r="U70" i="2" s="1"/>
  <c r="V70" i="2" s="1"/>
  <c r="U13" i="2"/>
  <c r="U14" i="2" s="1"/>
  <c r="S18" i="2"/>
  <c r="Q68" i="2" l="1"/>
  <c r="Q83" i="2" s="1"/>
  <c r="Q92" i="2" s="1"/>
  <c r="Q35" i="2"/>
  <c r="R20" i="2" s="1"/>
  <c r="R21" i="2" s="1"/>
  <c r="R22" i="2" s="1"/>
  <c r="Q25" i="2"/>
  <c r="U91" i="2"/>
  <c r="V91" i="2" s="1"/>
  <c r="U74" i="2"/>
  <c r="V74" i="2" s="1"/>
  <c r="U81" i="2"/>
  <c r="V81" i="2" s="1"/>
  <c r="U73" i="2"/>
  <c r="V73" i="2" s="1"/>
  <c r="U75" i="2"/>
  <c r="V75" i="2" s="1"/>
  <c r="U76" i="2"/>
  <c r="V76" i="2" s="1"/>
  <c r="U79" i="2"/>
  <c r="V79" i="2" s="1"/>
  <c r="S19" i="2"/>
  <c r="S33" i="2"/>
  <c r="U78" i="2"/>
  <c r="V78" i="2" s="1"/>
  <c r="U82" i="2"/>
  <c r="V82" i="2" s="1"/>
  <c r="U80" i="2"/>
  <c r="V80" i="2" s="1"/>
  <c r="U77" i="2"/>
  <c r="V77" i="2" s="1"/>
  <c r="U72" i="2"/>
  <c r="V72" i="2" s="1"/>
  <c r="U15" i="2"/>
  <c r="V15" i="2" s="1"/>
  <c r="T18" i="2"/>
  <c r="R23" i="2" l="1"/>
  <c r="R68" i="2"/>
  <c r="R83" i="2" s="1"/>
  <c r="R92" i="2" s="1"/>
  <c r="R25" i="2"/>
  <c r="R35" i="2"/>
  <c r="S20" i="2" s="1"/>
  <c r="V28" i="2"/>
  <c r="U28" i="2"/>
  <c r="V18" i="2"/>
  <c r="U18" i="2"/>
  <c r="U19" i="2" s="1"/>
  <c r="U31" i="2" s="1"/>
  <c r="T19" i="2"/>
  <c r="T31" i="2" s="1"/>
  <c r="T33" i="2"/>
  <c r="S21" i="2"/>
  <c r="S22" i="2" s="1"/>
  <c r="S31" i="2"/>
  <c r="S23" i="2" l="1"/>
  <c r="V19" i="2"/>
  <c r="V31" i="2" s="1"/>
  <c r="V33" i="2"/>
  <c r="U33" i="2"/>
  <c r="S68" i="2" l="1"/>
  <c r="S83" i="2" s="1"/>
  <c r="S92" i="2" s="1"/>
  <c r="S25" i="2"/>
  <c r="S35" i="2"/>
  <c r="T20" i="2" s="1"/>
  <c r="T21" i="2" s="1"/>
  <c r="T22" i="2" s="1"/>
  <c r="T23" i="2" l="1"/>
  <c r="T68" i="2" l="1"/>
  <c r="T83" i="2" s="1"/>
  <c r="T92" i="2" s="1"/>
  <c r="T35" i="2"/>
  <c r="T25" i="2"/>
  <c r="U20" i="2" l="1"/>
  <c r="U21" i="2" s="1"/>
  <c r="U22" i="2" s="1"/>
  <c r="U23" i="2" l="1"/>
  <c r="U68" i="2" l="1"/>
  <c r="U83" i="2" s="1"/>
  <c r="U92" i="2" s="1"/>
  <c r="U25" i="2"/>
  <c r="U35" i="2"/>
  <c r="V20" i="2" l="1"/>
  <c r="V21" i="2" s="1"/>
  <c r="V22" i="2" s="1"/>
  <c r="V23" i="2" l="1"/>
  <c r="V68" i="2" l="1"/>
  <c r="V83" i="2" s="1"/>
  <c r="V92" i="2" s="1"/>
  <c r="W92" i="2" s="1"/>
  <c r="V25" i="2"/>
  <c r="V35" i="2"/>
  <c r="X92" i="2" l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BU92" i="2" s="1"/>
  <c r="BV92" i="2" s="1"/>
  <c r="BW92" i="2" s="1"/>
  <c r="BX92" i="2" s="1"/>
  <c r="BY92" i="2" s="1"/>
  <c r="BZ92" i="2" s="1"/>
  <c r="CA92" i="2" s="1"/>
  <c r="CB92" i="2" s="1"/>
  <c r="CC92" i="2" s="1"/>
  <c r="CD92" i="2" s="1"/>
  <c r="CE92" i="2" s="1"/>
  <c r="CF92" i="2" s="1"/>
  <c r="CG92" i="2" s="1"/>
  <c r="CH92" i="2" s="1"/>
  <c r="CI92" i="2" s="1"/>
  <c r="CJ92" i="2" s="1"/>
  <c r="CK92" i="2" s="1"/>
  <c r="CL92" i="2" s="1"/>
  <c r="CM92" i="2" s="1"/>
  <c r="CN92" i="2" s="1"/>
  <c r="CO92" i="2" s="1"/>
  <c r="CP92" i="2" s="1"/>
  <c r="CQ92" i="2" s="1"/>
  <c r="CR92" i="2" s="1"/>
  <c r="CS92" i="2" s="1"/>
  <c r="CT92" i="2" s="1"/>
  <c r="CU92" i="2" s="1"/>
  <c r="CV92" i="2" s="1"/>
  <c r="CW92" i="2" s="1"/>
  <c r="CX92" i="2" s="1"/>
  <c r="CY92" i="2" s="1"/>
  <c r="CZ92" i="2" s="1"/>
  <c r="DA92" i="2" s="1"/>
  <c r="DB92" i="2" s="1"/>
  <c r="DC92" i="2" s="1"/>
  <c r="DD92" i="2" s="1"/>
  <c r="DE92" i="2" s="1"/>
  <c r="DF92" i="2" s="1"/>
  <c r="DG92" i="2" s="1"/>
  <c r="DH92" i="2" s="1"/>
  <c r="DI92" i="2" s="1"/>
  <c r="DJ92" i="2" s="1"/>
  <c r="Y88" i="2" l="1"/>
  <c r="Y89" i="2" s="1"/>
  <c r="Y90" i="2" s="1"/>
</calcChain>
</file>

<file path=xl/sharedStrings.xml><?xml version="1.0" encoding="utf-8"?>
<sst xmlns="http://schemas.openxmlformats.org/spreadsheetml/2006/main" count="107" uniqueCount="92">
  <si>
    <t>Price</t>
  </si>
  <si>
    <t>Shares</t>
  </si>
  <si>
    <t>MC</t>
  </si>
  <si>
    <t>Cash</t>
  </si>
  <si>
    <t>Debt</t>
  </si>
  <si>
    <t>EV</t>
  </si>
  <si>
    <t>Subscription</t>
  </si>
  <si>
    <t>Product</t>
  </si>
  <si>
    <t>Services</t>
  </si>
  <si>
    <t>Revenue</t>
  </si>
  <si>
    <t>Subscription COGS</t>
  </si>
  <si>
    <t>Product COGS</t>
  </si>
  <si>
    <t>Services COGS</t>
  </si>
  <si>
    <t>COGS</t>
  </si>
  <si>
    <t>Gross Profit</t>
  </si>
  <si>
    <t>R&amp;D</t>
  </si>
  <si>
    <t>S&amp;M</t>
  </si>
  <si>
    <t>G&amp;A</t>
  </si>
  <si>
    <t>OPEX</t>
  </si>
  <si>
    <t>Operating Income</t>
  </si>
  <si>
    <t>Interest</t>
  </si>
  <si>
    <t>Pretax Income</t>
  </si>
  <si>
    <t>Tax</t>
  </si>
  <si>
    <t>Net Income</t>
  </si>
  <si>
    <t>EPS</t>
  </si>
  <si>
    <t>Gross Margin</t>
  </si>
  <si>
    <t>CFFO</t>
  </si>
  <si>
    <t>FCF</t>
  </si>
  <si>
    <t>Net Cash</t>
  </si>
  <si>
    <t>Q125</t>
  </si>
  <si>
    <t>ROIC</t>
  </si>
  <si>
    <t>Maturity</t>
  </si>
  <si>
    <t>Discount</t>
  </si>
  <si>
    <t>NPV</t>
  </si>
  <si>
    <t>Diff</t>
  </si>
  <si>
    <t>FCF Margin</t>
  </si>
  <si>
    <t>Revenue y/y</t>
  </si>
  <si>
    <t>OPEX Margin</t>
  </si>
  <si>
    <t>Operating Margin</t>
  </si>
  <si>
    <t>Short-term Investments</t>
  </si>
  <si>
    <t>AR</t>
  </si>
  <si>
    <t>Prepaid Expenses</t>
  </si>
  <si>
    <t>PP&amp;E</t>
  </si>
  <si>
    <t>Operating Lease Assets</t>
  </si>
  <si>
    <t>GW</t>
  </si>
  <si>
    <t>Other Intangibles</t>
  </si>
  <si>
    <t>DIT</t>
  </si>
  <si>
    <t>Other Assets</t>
  </si>
  <si>
    <t>Assets</t>
  </si>
  <si>
    <t>Trade Payables</t>
  </si>
  <si>
    <t>Accrued Expenses</t>
  </si>
  <si>
    <t>Deferred Revenue</t>
  </si>
  <si>
    <t>ITP</t>
  </si>
  <si>
    <t>Operating Lease Liabilities</t>
  </si>
  <si>
    <t>Cur. Debt</t>
  </si>
  <si>
    <t>LT Debt</t>
  </si>
  <si>
    <t>LT Deferred Revenue</t>
  </si>
  <si>
    <t>Other Liabilities</t>
  </si>
  <si>
    <t>SE</t>
  </si>
  <si>
    <t>Liabilities</t>
  </si>
  <si>
    <t>L+SE</t>
  </si>
  <si>
    <t>Main</t>
  </si>
  <si>
    <t>Q124</t>
  </si>
  <si>
    <t>Q224</t>
  </si>
  <si>
    <t>Q324</t>
  </si>
  <si>
    <t>Q425</t>
  </si>
  <si>
    <t>Q225</t>
  </si>
  <si>
    <t>Q325</t>
  </si>
  <si>
    <t>LT ITP</t>
  </si>
  <si>
    <t>DSO</t>
  </si>
  <si>
    <t>Model NI</t>
  </si>
  <si>
    <t>Reported NI</t>
  </si>
  <si>
    <t>D&amp;A</t>
  </si>
  <si>
    <t>Stock-based Comp</t>
  </si>
  <si>
    <t>Reduction of OL Assets</t>
  </si>
  <si>
    <t>Lease Asset Impairments</t>
  </si>
  <si>
    <t>Unrealized Losses on Investments</t>
  </si>
  <si>
    <t>Other Non-cash</t>
  </si>
  <si>
    <t>AP</t>
  </si>
  <si>
    <t>DR</t>
  </si>
  <si>
    <t>Maturity of ST Investments</t>
  </si>
  <si>
    <t>Purchase of ST Investments</t>
  </si>
  <si>
    <t>Sale of ST Investments</t>
  </si>
  <si>
    <t>Acquisitions</t>
  </si>
  <si>
    <t>Purchase of PP&amp;E</t>
  </si>
  <si>
    <t>Purchase LT Investments</t>
  </si>
  <si>
    <t>Sale of LT Investments</t>
  </si>
  <si>
    <t>CAPEX</t>
  </si>
  <si>
    <t>Digital Media</t>
  </si>
  <si>
    <t>Digital Experience</t>
  </si>
  <si>
    <t>DE Subscription</t>
  </si>
  <si>
    <t>SG&amp;A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</si>
</sst>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3" fontId="5" fillId="0" borderId="0" xfId="1" applyNumberFormat="1" applyFont="1"/>
    <xf numFmtId="3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3" fontId="4" fillId="0" borderId="0" xfId="0" applyNumberFormat="1" applyFont="1"/>
    <xf numFmtId="10" fontId="1" fillId="0" borderId="0" xfId="0" applyNumberFormat="1" applyFont="1"/>
    <xf numFmtId="9" fontId="4" fillId="0" borderId="0" xfId="0" applyNumberFormat="1" applyFont="1"/>
    <xf numFmtId="164" fontId="4" fillId="0" borderId="0" xfId="0" applyNumberFormat="1" applyFont="1"/>
    <xf numFmtId="9" fontId="1" fillId="0" borderId="0" xfId="0" applyNumberFormat="1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28575</xdr:rowOff>
    </xdr:from>
    <xdr:to>
      <xdr:col>16</xdr:col>
      <xdr:colOff>19050</xdr:colOff>
      <xdr:row>98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27E734B-78F6-25CF-AF3A-9164F515D047}"/>
            </a:ext>
          </a:extLst>
        </xdr:cNvPr>
        <xdr:cNvCxnSpPr/>
      </xdr:nvCxnSpPr>
      <xdr:spPr>
        <a:xfrm>
          <a:off x="10182225" y="28575"/>
          <a:ext cx="9525" cy="1794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0</xdr:row>
      <xdr:rowOff>19050</xdr:rowOff>
    </xdr:from>
    <xdr:to>
      <xdr:col>7</xdr:col>
      <xdr:colOff>19050</xdr:colOff>
      <xdr:row>70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F5E25C-17F0-4F8D-1774-386610D8C3FE}"/>
            </a:ext>
          </a:extLst>
        </xdr:cNvPr>
        <xdr:cNvCxnSpPr/>
      </xdr:nvCxnSpPr>
      <xdr:spPr>
        <a:xfrm flipH="1">
          <a:off x="4695825" y="19050"/>
          <a:ext cx="9525" cy="126396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A162-EAE9-4CC5-AE4B-8B686CFC5399}">
  <dimension ref="A1:P8"/>
  <sheetViews>
    <sheetView zoomScale="115" zoomScaleNormal="115" workbookViewId="0">
      <selection activeCell="O3" sqref="O3"/>
    </sheetView>
  </sheetViews>
  <sheetFormatPr defaultRowHeight="12.75" x14ac:dyDescent="0.2"/>
  <cols>
    <col min="1" max="16384" width="9.140625" style="2"/>
  </cols>
  <sheetData>
    <row r="1" spans="1:16" x14ac:dyDescent="0.2">
      <c r="A1" s="1"/>
    </row>
    <row r="2" spans="1:16" x14ac:dyDescent="0.2">
      <c r="N2" s="2" t="s">
        <v>0</v>
      </c>
      <c r="O2" s="3">
        <v>387</v>
      </c>
    </row>
    <row r="3" spans="1:16" x14ac:dyDescent="0.2">
      <c r="N3" s="2" t="s">
        <v>1</v>
      </c>
      <c r="O3" s="4">
        <v>426.2</v>
      </c>
      <c r="P3" s="2" t="s">
        <v>29</v>
      </c>
    </row>
    <row r="4" spans="1:16" x14ac:dyDescent="0.2">
      <c r="N4" s="2" t="s">
        <v>2</v>
      </c>
      <c r="O4" s="4">
        <f>O3*O2</f>
        <v>164939.4</v>
      </c>
    </row>
    <row r="5" spans="1:16" x14ac:dyDescent="0.2">
      <c r="N5" s="2" t="s">
        <v>3</v>
      </c>
      <c r="O5" s="4">
        <f>6758+677</f>
        <v>7435</v>
      </c>
      <c r="P5" s="2" t="s">
        <v>29</v>
      </c>
    </row>
    <row r="6" spans="1:16" x14ac:dyDescent="0.2">
      <c r="N6" s="2" t="s">
        <v>4</v>
      </c>
      <c r="O6" s="4">
        <f>6155+143+567+334+498</f>
        <v>7697</v>
      </c>
      <c r="P6" s="2" t="s">
        <v>29</v>
      </c>
    </row>
    <row r="7" spans="1:16" x14ac:dyDescent="0.2">
      <c r="N7" s="2" t="s">
        <v>5</v>
      </c>
      <c r="O7" s="4">
        <f>O4+O6-O5</f>
        <v>165201.4</v>
      </c>
    </row>
    <row r="8" spans="1:16" x14ac:dyDescent="0.2">
      <c r="O8" s="2">
        <f>O2/(1.1*4*model!G25)</f>
        <v>21.245059288537547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5702-5366-4A93-A101-38C235480BE9}">
  <dimension ref="A1:DJ94"/>
  <sheetViews>
    <sheetView tabSelected="1" zoomScale="130" zoomScaleNormal="130" workbookViewId="0">
      <pane xSplit="2" ySplit="1" topLeftCell="P77" activePane="bottomRight" state="frozen"/>
      <selection pane="topRight" activeCell="B1" sqref="B1"/>
      <selection pane="bottomLeft" activeCell="A2" sqref="A2"/>
      <selection pane="bottomRight" activeCell="Y85" sqref="Y85"/>
    </sheetView>
  </sheetViews>
  <sheetFormatPr defaultRowHeight="12.75" x14ac:dyDescent="0.2"/>
  <cols>
    <col min="1" max="1" width="5" style="6" customWidth="1"/>
    <col min="2" max="2" width="27.85546875" style="6" customWidth="1"/>
    <col min="3" max="6" width="9.140625" style="7"/>
    <col min="7" max="7" width="9.140625" style="6"/>
    <col min="8" max="8" width="9.5703125" style="7" bestFit="1" customWidth="1"/>
    <col min="9" max="10" width="9.140625" style="7"/>
    <col min="11" max="16" width="9.140625" style="6"/>
    <col min="17" max="17" width="9.5703125" style="6" bestFit="1" customWidth="1"/>
    <col min="18" max="16384" width="9.140625" style="6"/>
  </cols>
  <sheetData>
    <row r="1" spans="1:26" x14ac:dyDescent="0.2">
      <c r="A1" s="5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6" t="s">
        <v>29</v>
      </c>
      <c r="H1" s="7" t="s">
        <v>66</v>
      </c>
      <c r="I1" s="7" t="s">
        <v>67</v>
      </c>
      <c r="J1" s="7" t="s">
        <v>65</v>
      </c>
      <c r="L1" s="8">
        <v>2020</v>
      </c>
      <c r="M1" s="8">
        <f>L1+1</f>
        <v>2021</v>
      </c>
      <c r="N1" s="8">
        <f t="shared" ref="N1:U1" si="0">M1+1</f>
        <v>2022</v>
      </c>
      <c r="O1" s="8">
        <f t="shared" si="0"/>
        <v>2023</v>
      </c>
      <c r="P1" s="8">
        <f t="shared" si="0"/>
        <v>2024</v>
      </c>
      <c r="Q1" s="8">
        <f t="shared" si="0"/>
        <v>2025</v>
      </c>
      <c r="R1" s="8">
        <f t="shared" si="0"/>
        <v>2026</v>
      </c>
      <c r="S1" s="8">
        <f t="shared" si="0"/>
        <v>2027</v>
      </c>
      <c r="T1" s="8">
        <f t="shared" si="0"/>
        <v>2028</v>
      </c>
      <c r="U1" s="8">
        <f t="shared" si="0"/>
        <v>2029</v>
      </c>
      <c r="V1" s="8">
        <f t="shared" ref="V1" si="1">U1+1</f>
        <v>2030</v>
      </c>
      <c r="W1" s="8"/>
      <c r="X1" s="8"/>
      <c r="Y1" s="8"/>
      <c r="Z1" s="8"/>
    </row>
    <row r="2" spans="1:26" x14ac:dyDescent="0.2">
      <c r="A2" s="5"/>
      <c r="B2" s="6" t="s">
        <v>88</v>
      </c>
      <c r="H2" s="6">
        <v>4300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5"/>
      <c r="B3" s="6" t="s">
        <v>89</v>
      </c>
      <c r="H3" s="6">
        <v>1450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5"/>
      <c r="B4" s="6" t="s">
        <v>90</v>
      </c>
      <c r="H4" s="6">
        <v>1320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5"/>
      <c r="H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B6" s="6" t="s">
        <v>6</v>
      </c>
      <c r="H6" s="6"/>
      <c r="I6" s="6"/>
      <c r="J6" s="6"/>
      <c r="N6" s="6">
        <v>16388</v>
      </c>
      <c r="O6" s="6">
        <v>18284</v>
      </c>
      <c r="P6" s="6">
        <v>20521</v>
      </c>
    </row>
    <row r="7" spans="1:26" x14ac:dyDescent="0.2">
      <c r="B7" s="6" t="s">
        <v>7</v>
      </c>
      <c r="N7" s="6">
        <v>532</v>
      </c>
      <c r="O7" s="6">
        <v>460</v>
      </c>
      <c r="P7" s="6">
        <v>386</v>
      </c>
    </row>
    <row r="8" spans="1:26" x14ac:dyDescent="0.2">
      <c r="B8" s="6" t="s">
        <v>8</v>
      </c>
      <c r="H8" s="9"/>
      <c r="N8" s="6">
        <v>686</v>
      </c>
      <c r="O8" s="6">
        <v>665</v>
      </c>
      <c r="P8" s="6">
        <v>598</v>
      </c>
    </row>
    <row r="9" spans="1:26" s="10" customFormat="1" x14ac:dyDescent="0.2">
      <c r="B9" s="10" t="s">
        <v>9</v>
      </c>
      <c r="G9" s="6">
        <v>5710</v>
      </c>
      <c r="H9" s="6">
        <v>5800</v>
      </c>
      <c r="I9" s="6">
        <f>H9*1.02</f>
        <v>5916</v>
      </c>
      <c r="J9" s="6">
        <f>I9*1.02</f>
        <v>6034.32</v>
      </c>
      <c r="N9" s="10">
        <f>SUM(N6:N8)</f>
        <v>17606</v>
      </c>
      <c r="O9" s="10">
        <f t="shared" ref="O9:P9" si="2">SUM(O6:O8)</f>
        <v>19409</v>
      </c>
      <c r="P9" s="10">
        <f t="shared" si="2"/>
        <v>21505</v>
      </c>
      <c r="Q9" s="10">
        <v>23600</v>
      </c>
      <c r="R9" s="10">
        <f>Q9*1.09</f>
        <v>25724.000000000004</v>
      </c>
      <c r="S9" s="10">
        <f t="shared" ref="S9:U9" si="3">R9*1.09</f>
        <v>28039.160000000007</v>
      </c>
      <c r="T9" s="10">
        <f t="shared" si="3"/>
        <v>30562.684400000009</v>
      </c>
      <c r="U9" s="10">
        <f t="shared" si="3"/>
        <v>33313.325996000014</v>
      </c>
      <c r="V9" s="10">
        <f>U9*1.01</f>
        <v>33646.459255960013</v>
      </c>
    </row>
    <row r="10" spans="1:26" x14ac:dyDescent="0.2">
      <c r="B10" s="6" t="s">
        <v>10</v>
      </c>
      <c r="I10" s="6"/>
      <c r="N10" s="6">
        <v>1646</v>
      </c>
      <c r="O10" s="6">
        <v>1822</v>
      </c>
      <c r="P10" s="6">
        <v>1799</v>
      </c>
    </row>
    <row r="11" spans="1:26" x14ac:dyDescent="0.2">
      <c r="B11" s="6" t="s">
        <v>11</v>
      </c>
      <c r="N11" s="6">
        <v>35</v>
      </c>
      <c r="O11" s="6">
        <v>29</v>
      </c>
      <c r="P11" s="6">
        <v>25</v>
      </c>
    </row>
    <row r="12" spans="1:26" x14ac:dyDescent="0.2">
      <c r="B12" s="6" t="s">
        <v>12</v>
      </c>
      <c r="N12" s="6">
        <v>484</v>
      </c>
      <c r="O12" s="6">
        <v>503</v>
      </c>
      <c r="P12" s="6">
        <v>534</v>
      </c>
    </row>
    <row r="13" spans="1:26" x14ac:dyDescent="0.2">
      <c r="B13" s="6" t="s">
        <v>13</v>
      </c>
      <c r="N13" s="6">
        <f>SUM(N10:N12)</f>
        <v>2165</v>
      </c>
      <c r="O13" s="6">
        <f t="shared" ref="O13:P13" si="4">SUM(O10:O12)</f>
        <v>2354</v>
      </c>
      <c r="P13" s="6">
        <f t="shared" si="4"/>
        <v>2358</v>
      </c>
      <c r="Q13" s="6">
        <f t="shared" ref="Q13:V13" si="5">Q9*(1-Q30)</f>
        <v>2477.9999999999995</v>
      </c>
      <c r="R13" s="6">
        <f t="shared" si="5"/>
        <v>2701.02</v>
      </c>
      <c r="S13" s="6">
        <f t="shared" si="5"/>
        <v>2944.1118000000001</v>
      </c>
      <c r="T13" s="6">
        <f t="shared" si="5"/>
        <v>3209.0818620000005</v>
      </c>
      <c r="U13" s="6">
        <f t="shared" si="5"/>
        <v>3497.8992295800008</v>
      </c>
      <c r="V13" s="6">
        <f t="shared" si="5"/>
        <v>3532.8782218758006</v>
      </c>
    </row>
    <row r="14" spans="1:26" x14ac:dyDescent="0.2">
      <c r="B14" s="6" t="s">
        <v>14</v>
      </c>
      <c r="N14" s="6">
        <f>N9-N13</f>
        <v>15441</v>
      </c>
      <c r="O14" s="6">
        <f t="shared" ref="O14:P14" si="6">O9-O13</f>
        <v>17055</v>
      </c>
      <c r="P14" s="6">
        <f t="shared" si="6"/>
        <v>19147</v>
      </c>
      <c r="Q14" s="6">
        <f t="shared" ref="Q14" si="7">Q9-Q13</f>
        <v>21122</v>
      </c>
      <c r="R14" s="6">
        <f t="shared" ref="R14" si="8">R9-R13</f>
        <v>23022.980000000003</v>
      </c>
      <c r="S14" s="6">
        <f t="shared" ref="S14" si="9">S9-S13</f>
        <v>25095.048200000008</v>
      </c>
      <c r="T14" s="6">
        <f t="shared" ref="T14" si="10">T9-T13</f>
        <v>27353.60253800001</v>
      </c>
      <c r="U14" s="6">
        <f t="shared" ref="U14:V14" si="11">U9-U13</f>
        <v>29815.426766420012</v>
      </c>
      <c r="V14" s="6">
        <f t="shared" si="11"/>
        <v>30113.581034084214</v>
      </c>
    </row>
    <row r="15" spans="1:26" x14ac:dyDescent="0.2">
      <c r="B15" s="6" t="s">
        <v>15</v>
      </c>
      <c r="N15" s="6">
        <v>2987</v>
      </c>
      <c r="O15" s="6">
        <v>3473</v>
      </c>
      <c r="P15" s="6">
        <v>3944</v>
      </c>
      <c r="Q15" s="6">
        <f>P15*(1+Q27)</f>
        <v>4328.221343873518</v>
      </c>
      <c r="R15" s="6">
        <f t="shared" ref="R15:V15" si="12">Q15*(1+R27)</f>
        <v>4717.7612648221348</v>
      </c>
      <c r="S15" s="6">
        <f t="shared" si="12"/>
        <v>5142.3597786561277</v>
      </c>
      <c r="T15" s="6">
        <f t="shared" si="12"/>
        <v>5605.1721587351794</v>
      </c>
      <c r="U15" s="6">
        <f t="shared" si="12"/>
        <v>6109.6376530213456</v>
      </c>
      <c r="V15" s="6">
        <f t="shared" si="12"/>
        <v>6170.7340295515587</v>
      </c>
    </row>
    <row r="16" spans="1:26" x14ac:dyDescent="0.2">
      <c r="B16" s="6" t="s">
        <v>16</v>
      </c>
      <c r="N16" s="6">
        <v>4968</v>
      </c>
      <c r="O16" s="6">
        <v>5351</v>
      </c>
      <c r="P16" s="6">
        <v>5764</v>
      </c>
      <c r="Q16" s="6">
        <f>P16*1.085</f>
        <v>6253.94</v>
      </c>
      <c r="R16" s="6">
        <f t="shared" ref="R16:V16" si="13">Q16*1.085</f>
        <v>6785.5248999999994</v>
      </c>
      <c r="S16" s="6">
        <f t="shared" si="13"/>
        <v>7362.2945164999992</v>
      </c>
      <c r="T16" s="6">
        <f t="shared" si="13"/>
        <v>7988.0895504024993</v>
      </c>
      <c r="U16" s="6">
        <f t="shared" si="13"/>
        <v>8667.0771621867116</v>
      </c>
      <c r="V16" s="6">
        <f t="shared" si="13"/>
        <v>9403.7787209725811</v>
      </c>
    </row>
    <row r="17" spans="2:24" x14ac:dyDescent="0.2">
      <c r="B17" s="6" t="s">
        <v>17</v>
      </c>
      <c r="N17" s="6">
        <v>1219</v>
      </c>
      <c r="O17" s="6">
        <v>1413</v>
      </c>
      <c r="P17" s="6">
        <v>1529</v>
      </c>
      <c r="Q17" s="6">
        <f>P17*1.085</f>
        <v>1658.9649999999999</v>
      </c>
      <c r="R17" s="6">
        <f t="shared" ref="R17:V17" si="14">Q17*1.085</f>
        <v>1799.9770249999999</v>
      </c>
      <c r="S17" s="6">
        <f t="shared" si="14"/>
        <v>1952.9750721249998</v>
      </c>
      <c r="T17" s="6">
        <f t="shared" si="14"/>
        <v>2118.9779532556245</v>
      </c>
      <c r="U17" s="6">
        <f t="shared" si="14"/>
        <v>2299.0910792823524</v>
      </c>
      <c r="V17" s="6">
        <f t="shared" si="14"/>
        <v>2494.5138210213522</v>
      </c>
    </row>
    <row r="18" spans="2:24" x14ac:dyDescent="0.2">
      <c r="B18" s="6" t="s">
        <v>18</v>
      </c>
      <c r="N18" s="6">
        <f>SUM(N15:N17)</f>
        <v>9174</v>
      </c>
      <c r="O18" s="6">
        <f t="shared" ref="O18:U18" si="15">SUM(O15:O17)</f>
        <v>10237</v>
      </c>
      <c r="P18" s="6">
        <f t="shared" si="15"/>
        <v>11237</v>
      </c>
      <c r="Q18" s="6">
        <f t="shared" si="15"/>
        <v>12241.126343873519</v>
      </c>
      <c r="R18" s="6">
        <f t="shared" si="15"/>
        <v>13303.263189822133</v>
      </c>
      <c r="S18" s="6">
        <f t="shared" si="15"/>
        <v>14457.629367281128</v>
      </c>
      <c r="T18" s="6">
        <f t="shared" si="15"/>
        <v>15712.239662393302</v>
      </c>
      <c r="U18" s="6">
        <f t="shared" si="15"/>
        <v>17075.805894490411</v>
      </c>
      <c r="V18" s="6">
        <f t="shared" ref="V18" si="16">SUM(V15:V17)</f>
        <v>18069.026571545492</v>
      </c>
    </row>
    <row r="19" spans="2:24" x14ac:dyDescent="0.2">
      <c r="B19" s="6" t="s">
        <v>19</v>
      </c>
      <c r="N19" s="6">
        <f>N14-N18</f>
        <v>6267</v>
      </c>
      <c r="O19" s="6">
        <f t="shared" ref="O19:U19" si="17">O14-O18</f>
        <v>6818</v>
      </c>
      <c r="P19" s="6">
        <f t="shared" si="17"/>
        <v>7910</v>
      </c>
      <c r="Q19" s="6">
        <f t="shared" si="17"/>
        <v>8880.8736561264814</v>
      </c>
      <c r="R19" s="6">
        <f t="shared" si="17"/>
        <v>9719.7168101778698</v>
      </c>
      <c r="S19" s="6">
        <f t="shared" si="17"/>
        <v>10637.41883271888</v>
      </c>
      <c r="T19" s="6">
        <f t="shared" si="17"/>
        <v>11641.362875606708</v>
      </c>
      <c r="U19" s="6">
        <f t="shared" si="17"/>
        <v>12739.620871929601</v>
      </c>
      <c r="V19" s="6">
        <f t="shared" ref="V19" si="18">V14-V18</f>
        <v>12044.554462538723</v>
      </c>
    </row>
    <row r="20" spans="2:24" x14ac:dyDescent="0.2">
      <c r="B20" s="6" t="s">
        <v>20</v>
      </c>
      <c r="N20" s="6">
        <f>-112-19</f>
        <v>-131</v>
      </c>
      <c r="O20" s="6">
        <f>-113+16</f>
        <v>-97</v>
      </c>
      <c r="P20" s="6">
        <f>-169+48</f>
        <v>-121</v>
      </c>
      <c r="Q20" s="6">
        <f t="shared" ref="Q20:V20" si="19">P35*$Y$85</f>
        <v>3.7800000000000002</v>
      </c>
      <c r="R20" s="6">
        <f t="shared" si="19"/>
        <v>147.71138922924899</v>
      </c>
      <c r="S20" s="6">
        <f t="shared" si="19"/>
        <v>307.56372605964435</v>
      </c>
      <c r="T20" s="6">
        <f t="shared" si="19"/>
        <v>484.87244351185643</v>
      </c>
      <c r="U20" s="6">
        <f t="shared" si="19"/>
        <v>681.31745568157714</v>
      </c>
      <c r="V20" s="6">
        <f t="shared" si="19"/>
        <v>898.7366565888783</v>
      </c>
    </row>
    <row r="21" spans="2:24" x14ac:dyDescent="0.2">
      <c r="B21" s="6" t="s">
        <v>21</v>
      </c>
      <c r="N21" s="6">
        <f>N19+N20</f>
        <v>6136</v>
      </c>
      <c r="O21" s="6">
        <f t="shared" ref="O21:U21" si="20">O19+O20</f>
        <v>6721</v>
      </c>
      <c r="P21" s="6">
        <f t="shared" si="20"/>
        <v>7789</v>
      </c>
      <c r="Q21" s="6">
        <f t="shared" si="20"/>
        <v>8884.653656126482</v>
      </c>
      <c r="R21" s="6">
        <f t="shared" si="20"/>
        <v>9867.4281994071189</v>
      </c>
      <c r="S21" s="6">
        <f t="shared" si="20"/>
        <v>10944.982558778525</v>
      </c>
      <c r="T21" s="6">
        <f t="shared" si="20"/>
        <v>12126.235319118565</v>
      </c>
      <c r="U21" s="6">
        <f t="shared" si="20"/>
        <v>13420.938327611178</v>
      </c>
      <c r="V21" s="6">
        <f t="shared" ref="V21" si="21">V19+V20</f>
        <v>12943.291119127602</v>
      </c>
    </row>
    <row r="22" spans="2:24" x14ac:dyDescent="0.2">
      <c r="B22" s="6" t="s">
        <v>22</v>
      </c>
      <c r="N22" s="6">
        <v>1252</v>
      </c>
      <c r="O22" s="6">
        <v>1371</v>
      </c>
      <c r="P22" s="6">
        <v>1371</v>
      </c>
      <c r="Q22" s="6">
        <f>Q21*0.19</f>
        <v>1688.0841946640317</v>
      </c>
      <c r="R22" s="6">
        <f t="shared" ref="R22:V22" si="22">R21*0.19</f>
        <v>1874.8113578873526</v>
      </c>
      <c r="S22" s="6">
        <f t="shared" si="22"/>
        <v>2079.5466861679197</v>
      </c>
      <c r="T22" s="6">
        <f t="shared" si="22"/>
        <v>2303.9847106325274</v>
      </c>
      <c r="U22" s="6">
        <f t="shared" si="22"/>
        <v>2549.9782822461239</v>
      </c>
      <c r="V22" s="6">
        <f t="shared" si="22"/>
        <v>2459.2253126342443</v>
      </c>
    </row>
    <row r="23" spans="2:24" s="10" customFormat="1" x14ac:dyDescent="0.2">
      <c r="B23" s="10" t="s">
        <v>23</v>
      </c>
      <c r="N23" s="10">
        <f>N21-N22</f>
        <v>4884</v>
      </c>
      <c r="O23" s="10">
        <f t="shared" ref="O23:P23" si="23">O21-O22</f>
        <v>5350</v>
      </c>
      <c r="P23" s="10">
        <f t="shared" si="23"/>
        <v>6418</v>
      </c>
      <c r="Q23" s="10">
        <f t="shared" ref="Q23" si="24">Q21-Q22</f>
        <v>7196.5694614624499</v>
      </c>
      <c r="R23" s="10">
        <f t="shared" ref="R23" si="25">R21-R22</f>
        <v>7992.6168415197662</v>
      </c>
      <c r="S23" s="10">
        <f t="shared" ref="S23" si="26">S21-S22</f>
        <v>8865.4358726106057</v>
      </c>
      <c r="T23" s="10">
        <f t="shared" ref="T23" si="27">T21-T22</f>
        <v>9822.2506084860379</v>
      </c>
      <c r="U23" s="10">
        <f t="shared" ref="U23:V23" si="28">U21-U22</f>
        <v>10870.960045365055</v>
      </c>
      <c r="V23" s="10">
        <f t="shared" si="28"/>
        <v>10484.065806493358</v>
      </c>
    </row>
    <row r="24" spans="2:24" x14ac:dyDescent="0.2">
      <c r="B24" s="6" t="s">
        <v>1</v>
      </c>
      <c r="N24" s="6">
        <v>471</v>
      </c>
      <c r="O24" s="6">
        <v>459</v>
      </c>
      <c r="P24" s="6">
        <v>450</v>
      </c>
      <c r="Q24" s="6">
        <v>450</v>
      </c>
      <c r="R24" s="6">
        <v>450</v>
      </c>
      <c r="S24" s="6">
        <v>450</v>
      </c>
      <c r="T24" s="6">
        <v>450</v>
      </c>
      <c r="U24" s="6">
        <v>450</v>
      </c>
      <c r="V24" s="6">
        <v>450</v>
      </c>
    </row>
    <row r="25" spans="2:24" x14ac:dyDescent="0.2">
      <c r="B25" s="6" t="s">
        <v>24</v>
      </c>
      <c r="G25" s="9">
        <v>4.1399999999999997</v>
      </c>
      <c r="N25" s="9">
        <f>N23/N24</f>
        <v>10.369426751592357</v>
      </c>
      <c r="O25" s="9">
        <f t="shared" ref="O25:U25" si="29">O23/O24</f>
        <v>11.655773420479303</v>
      </c>
      <c r="P25" s="9">
        <f t="shared" si="29"/>
        <v>14.262222222222222</v>
      </c>
      <c r="Q25" s="9">
        <f t="shared" si="29"/>
        <v>15.992376581027667</v>
      </c>
      <c r="R25" s="9">
        <f t="shared" si="29"/>
        <v>17.761370758932813</v>
      </c>
      <c r="S25" s="9">
        <f t="shared" si="29"/>
        <v>19.700968605801346</v>
      </c>
      <c r="T25" s="9">
        <f t="shared" si="29"/>
        <v>21.827223574413416</v>
      </c>
      <c r="U25" s="9">
        <f t="shared" si="29"/>
        <v>24.157688989700123</v>
      </c>
      <c r="V25" s="9">
        <f t="shared" ref="V25" si="30">V23/V24</f>
        <v>23.297924014429682</v>
      </c>
    </row>
    <row r="26" spans="2:24" x14ac:dyDescent="0.2">
      <c r="M26" s="11"/>
    </row>
    <row r="27" spans="2:24" s="10" customFormat="1" x14ac:dyDescent="0.2">
      <c r="B27" s="10" t="s">
        <v>36</v>
      </c>
      <c r="O27" s="12">
        <f>O9/N9-1</f>
        <v>0.10240826990798602</v>
      </c>
      <c r="P27" s="12">
        <f>P9/O9-1</f>
        <v>0.10799113813179462</v>
      </c>
      <c r="Q27" s="12">
        <f t="shared" ref="Q27:V27" si="31">Q9/P9-1</f>
        <v>9.7419204836084683E-2</v>
      </c>
      <c r="R27" s="12">
        <f t="shared" si="31"/>
        <v>9.000000000000008E-2</v>
      </c>
      <c r="S27" s="12">
        <f t="shared" si="31"/>
        <v>9.000000000000008E-2</v>
      </c>
      <c r="T27" s="12">
        <f t="shared" si="31"/>
        <v>9.000000000000008E-2</v>
      </c>
      <c r="U27" s="12">
        <f t="shared" si="31"/>
        <v>9.000000000000008E-2</v>
      </c>
      <c r="V27" s="12">
        <f t="shared" si="31"/>
        <v>1.0000000000000009E-2</v>
      </c>
    </row>
    <row r="28" spans="2:24" s="10" customFormat="1" x14ac:dyDescent="0.2">
      <c r="B28" s="6" t="s">
        <v>91</v>
      </c>
      <c r="O28" s="12">
        <f>SUM(O16:O17)/SUM(N16:N17)-1</f>
        <v>9.326006141910459E-2</v>
      </c>
      <c r="P28" s="12">
        <f>SUM(P16:P17)/SUM(O16:O17)-1</f>
        <v>7.820816085156701E-2</v>
      </c>
      <c r="Q28" s="12">
        <f>SUM(Q16:Q17)/SUM(P16:P17)-1</f>
        <v>8.4999999999999964E-2</v>
      </c>
      <c r="R28" s="12">
        <f t="shared" ref="R28:V28" si="32">SUM(R16:R17)/SUM(Q16:Q17)-1</f>
        <v>8.4999999999999964E-2</v>
      </c>
      <c r="S28" s="12">
        <f t="shared" si="32"/>
        <v>8.4999999999999964E-2</v>
      </c>
      <c r="T28" s="12">
        <f t="shared" si="32"/>
        <v>8.4999999999999964E-2</v>
      </c>
      <c r="U28" s="12">
        <f t="shared" si="32"/>
        <v>8.4999999999999964E-2</v>
      </c>
      <c r="V28" s="12">
        <f t="shared" si="32"/>
        <v>8.4999999999999964E-2</v>
      </c>
    </row>
    <row r="30" spans="2:24" s="10" customFormat="1" x14ac:dyDescent="0.2">
      <c r="B30" s="10" t="s">
        <v>25</v>
      </c>
      <c r="N30" s="12">
        <f>N14/N9</f>
        <v>0.87703055776439853</v>
      </c>
      <c r="O30" s="12">
        <f>O14/O9</f>
        <v>0.87871605955999799</v>
      </c>
      <c r="P30" s="12">
        <f>P14/P9</f>
        <v>0.89035108114392003</v>
      </c>
      <c r="Q30" s="13">
        <v>0.89500000000000002</v>
      </c>
      <c r="R30" s="13">
        <v>0.89500000000000002</v>
      </c>
      <c r="S30" s="13">
        <v>0.89500000000000002</v>
      </c>
      <c r="T30" s="13">
        <v>0.89500000000000002</v>
      </c>
      <c r="U30" s="13">
        <v>0.89500000000000002</v>
      </c>
      <c r="V30" s="13">
        <v>0.89500000000000002</v>
      </c>
    </row>
    <row r="31" spans="2:24" s="10" customFormat="1" x14ac:dyDescent="0.2">
      <c r="B31" s="6" t="s">
        <v>38</v>
      </c>
      <c r="N31" s="14">
        <f t="shared" ref="N31:V31" si="33">N19/N9</f>
        <v>0.35595819606952173</v>
      </c>
      <c r="O31" s="14">
        <f t="shared" si="33"/>
        <v>0.35128033386573237</v>
      </c>
      <c r="P31" s="14">
        <f t="shared" si="33"/>
        <v>0.36782143687514529</v>
      </c>
      <c r="Q31" s="14">
        <f t="shared" si="33"/>
        <v>0.37630820576807122</v>
      </c>
      <c r="R31" s="14">
        <f t="shared" si="33"/>
        <v>0.37784624514763909</v>
      </c>
      <c r="S31" s="14">
        <f t="shared" si="33"/>
        <v>0.37937722930069506</v>
      </c>
      <c r="T31" s="14">
        <f t="shared" si="33"/>
        <v>0.38090119059066374</v>
      </c>
      <c r="U31" s="14">
        <f t="shared" si="33"/>
        <v>0.38241816123251304</v>
      </c>
      <c r="V31" s="14">
        <f t="shared" si="33"/>
        <v>0.35797390658291017</v>
      </c>
      <c r="W31" s="6"/>
      <c r="X31" s="14"/>
    </row>
    <row r="32" spans="2:24" s="10" customFormat="1" x14ac:dyDescent="0.2">
      <c r="B32" s="6" t="s">
        <v>35</v>
      </c>
      <c r="N32" s="14">
        <f>N68/N9</f>
        <v>0.27740542996705669</v>
      </c>
      <c r="O32" s="14">
        <f>O68/O9</f>
        <v>0.27564531918182289</v>
      </c>
      <c r="P32" s="14">
        <f>P68/P9</f>
        <v>0.29844222273889792</v>
      </c>
      <c r="Q32" s="14">
        <v>0.4</v>
      </c>
      <c r="R32" s="14">
        <f>Q32*1.04</f>
        <v>0.41600000000000004</v>
      </c>
      <c r="S32" s="14">
        <f t="shared" ref="S32:V32" si="34">R32*1.04</f>
        <v>0.43264000000000008</v>
      </c>
      <c r="T32" s="14">
        <f t="shared" si="34"/>
        <v>0.44994560000000011</v>
      </c>
      <c r="U32" s="14">
        <f t="shared" si="34"/>
        <v>0.46794342400000011</v>
      </c>
      <c r="V32" s="14">
        <f t="shared" si="34"/>
        <v>0.48666116096000012</v>
      </c>
      <c r="W32" s="6"/>
      <c r="X32" s="14"/>
    </row>
    <row r="33" spans="2:26" s="10" customFormat="1" x14ac:dyDescent="0.2">
      <c r="B33" s="6" t="s">
        <v>37</v>
      </c>
      <c r="N33" s="14">
        <f t="shared" ref="N33:V33" si="35">N18/N9</f>
        <v>0.5210723616948767</v>
      </c>
      <c r="O33" s="14">
        <f t="shared" si="35"/>
        <v>0.52743572569426556</v>
      </c>
      <c r="P33" s="14">
        <f t="shared" si="35"/>
        <v>0.52252964426877468</v>
      </c>
      <c r="Q33" s="14">
        <f t="shared" si="35"/>
        <v>0.51869179423192879</v>
      </c>
      <c r="R33" s="14">
        <f t="shared" si="35"/>
        <v>0.51715375485236093</v>
      </c>
      <c r="S33" s="14">
        <f t="shared" si="35"/>
        <v>0.51562277069930496</v>
      </c>
      <c r="T33" s="14">
        <f t="shared" si="35"/>
        <v>0.51409880940933639</v>
      </c>
      <c r="U33" s="14">
        <f t="shared" si="35"/>
        <v>0.51258183876748697</v>
      </c>
      <c r="V33" s="14">
        <f t="shared" si="35"/>
        <v>0.53702609341708996</v>
      </c>
      <c r="W33" s="6"/>
      <c r="X33" s="14"/>
    </row>
    <row r="34" spans="2:26" x14ac:dyDescent="0.2">
      <c r="X34" s="10"/>
      <c r="Y34" s="10"/>
      <c r="Z34" s="10"/>
    </row>
    <row r="35" spans="2:26" x14ac:dyDescent="0.2">
      <c r="B35" s="6" t="s">
        <v>28</v>
      </c>
      <c r="G35" s="6">
        <f>G36-G37</f>
        <v>-262</v>
      </c>
      <c r="L35" s="6">
        <f>L36-L37</f>
        <v>0</v>
      </c>
      <c r="M35" s="6">
        <f>M36-M37</f>
        <v>0</v>
      </c>
      <c r="N35" s="6">
        <f>N36-N37</f>
        <v>0</v>
      </c>
      <c r="O35" s="6">
        <f>O36-O37</f>
        <v>2832</v>
      </c>
      <c r="P35" s="6">
        <f>P36-P37</f>
        <v>189</v>
      </c>
      <c r="Q35" s="6">
        <f t="shared" ref="Q35:V35" si="36">P35+Q23</f>
        <v>7385.5694614624499</v>
      </c>
      <c r="R35" s="6">
        <f t="shared" si="36"/>
        <v>15378.186302982216</v>
      </c>
      <c r="S35" s="6">
        <f t="shared" si="36"/>
        <v>24243.62217559282</v>
      </c>
      <c r="T35" s="6">
        <f t="shared" si="36"/>
        <v>34065.872784078856</v>
      </c>
      <c r="U35" s="6">
        <f t="shared" si="36"/>
        <v>44936.832829443912</v>
      </c>
      <c r="V35" s="6">
        <f t="shared" si="36"/>
        <v>55420.898635937272</v>
      </c>
    </row>
    <row r="36" spans="2:26" x14ac:dyDescent="0.2">
      <c r="B36" s="6" t="s">
        <v>3</v>
      </c>
      <c r="G36" s="6">
        <f>6758+677</f>
        <v>7435</v>
      </c>
      <c r="O36" s="6">
        <f>O39+O40</f>
        <v>7842</v>
      </c>
      <c r="P36" s="6">
        <f>P39+P40</f>
        <v>7886</v>
      </c>
    </row>
    <row r="37" spans="2:26" x14ac:dyDescent="0.2">
      <c r="B37" s="6" t="s">
        <v>4</v>
      </c>
      <c r="G37" s="6">
        <f>6155+143+567+334+498</f>
        <v>7697</v>
      </c>
      <c r="O37" s="6">
        <f>SUM(O57:O61)</f>
        <v>5010</v>
      </c>
      <c r="P37" s="6">
        <f>6155+143+567+334+498</f>
        <v>7697</v>
      </c>
    </row>
    <row r="39" spans="2:26" x14ac:dyDescent="0.2">
      <c r="B39" s="6" t="s">
        <v>3</v>
      </c>
      <c r="O39" s="6">
        <v>7141</v>
      </c>
      <c r="P39" s="6">
        <v>7613</v>
      </c>
    </row>
    <row r="40" spans="2:26" x14ac:dyDescent="0.2">
      <c r="B40" s="6" t="s">
        <v>39</v>
      </c>
      <c r="O40" s="6">
        <v>701</v>
      </c>
      <c r="P40" s="6">
        <v>273</v>
      </c>
    </row>
    <row r="41" spans="2:26" x14ac:dyDescent="0.2">
      <c r="B41" s="6" t="s">
        <v>40</v>
      </c>
      <c r="O41" s="6">
        <v>2224</v>
      </c>
      <c r="P41" s="6">
        <v>2072</v>
      </c>
    </row>
    <row r="42" spans="2:26" x14ac:dyDescent="0.2">
      <c r="B42" s="6" t="s">
        <v>41</v>
      </c>
      <c r="O42" s="6">
        <v>1018</v>
      </c>
      <c r="P42" s="6">
        <v>1274</v>
      </c>
    </row>
    <row r="43" spans="2:26" x14ac:dyDescent="0.2">
      <c r="B43" s="6" t="s">
        <v>42</v>
      </c>
      <c r="O43" s="6">
        <v>2030</v>
      </c>
      <c r="P43" s="6">
        <v>1936</v>
      </c>
    </row>
    <row r="44" spans="2:26" x14ac:dyDescent="0.2">
      <c r="B44" s="6" t="s">
        <v>43</v>
      </c>
      <c r="O44" s="6">
        <v>358</v>
      </c>
      <c r="P44" s="6">
        <v>281</v>
      </c>
    </row>
    <row r="45" spans="2:26" x14ac:dyDescent="0.2">
      <c r="B45" s="6" t="s">
        <v>44</v>
      </c>
      <c r="O45" s="6">
        <v>12805</v>
      </c>
      <c r="P45" s="6">
        <v>12788</v>
      </c>
    </row>
    <row r="46" spans="2:26" x14ac:dyDescent="0.2">
      <c r="B46" s="6" t="s">
        <v>45</v>
      </c>
      <c r="O46" s="6">
        <v>1088</v>
      </c>
      <c r="P46" s="6">
        <v>782</v>
      </c>
    </row>
    <row r="47" spans="2:26" x14ac:dyDescent="0.2">
      <c r="B47" s="6" t="s">
        <v>46</v>
      </c>
      <c r="O47" s="6">
        <v>1191</v>
      </c>
      <c r="P47" s="6">
        <v>1657</v>
      </c>
    </row>
    <row r="48" spans="2:26" x14ac:dyDescent="0.2">
      <c r="B48" s="6" t="s">
        <v>47</v>
      </c>
      <c r="O48" s="6">
        <v>1223</v>
      </c>
      <c r="P48" s="6">
        <v>1554</v>
      </c>
    </row>
    <row r="49" spans="2:16" x14ac:dyDescent="0.2">
      <c r="B49" s="6" t="s">
        <v>48</v>
      </c>
      <c r="O49" s="6">
        <f>SUM(O39:O48)</f>
        <v>29779</v>
      </c>
      <c r="P49" s="6">
        <f>SUM(P39:P48)</f>
        <v>30230</v>
      </c>
    </row>
    <row r="51" spans="2:16" x14ac:dyDescent="0.2">
      <c r="B51" s="6" t="s">
        <v>49</v>
      </c>
      <c r="O51" s="6">
        <v>314</v>
      </c>
      <c r="P51" s="6">
        <v>361</v>
      </c>
    </row>
    <row r="52" spans="2:16" x14ac:dyDescent="0.2">
      <c r="B52" s="6" t="s">
        <v>50</v>
      </c>
      <c r="O52" s="6">
        <v>1942</v>
      </c>
      <c r="P52" s="6">
        <v>2336</v>
      </c>
    </row>
    <row r="53" spans="2:16" x14ac:dyDescent="0.2">
      <c r="B53" s="6" t="s">
        <v>54</v>
      </c>
      <c r="O53" s="6">
        <v>0</v>
      </c>
      <c r="P53" s="6">
        <v>1499</v>
      </c>
    </row>
    <row r="54" spans="2:16" x14ac:dyDescent="0.2">
      <c r="B54" s="6" t="s">
        <v>51</v>
      </c>
      <c r="O54" s="6">
        <v>5837</v>
      </c>
      <c r="P54" s="6">
        <v>6131</v>
      </c>
    </row>
    <row r="55" spans="2:16" x14ac:dyDescent="0.2">
      <c r="B55" s="6" t="s">
        <v>52</v>
      </c>
      <c r="O55" s="6">
        <v>85</v>
      </c>
      <c r="P55" s="6">
        <v>119</v>
      </c>
    </row>
    <row r="56" spans="2:16" x14ac:dyDescent="0.2">
      <c r="B56" s="6" t="s">
        <v>53</v>
      </c>
      <c r="O56" s="6">
        <v>73</v>
      </c>
      <c r="P56" s="6">
        <v>75</v>
      </c>
    </row>
    <row r="57" spans="2:16" x14ac:dyDescent="0.2">
      <c r="B57" s="6" t="s">
        <v>55</v>
      </c>
      <c r="O57" s="6">
        <v>3634</v>
      </c>
      <c r="P57" s="6">
        <v>4129</v>
      </c>
    </row>
    <row r="58" spans="2:16" x14ac:dyDescent="0.2">
      <c r="B58" s="6" t="s">
        <v>56</v>
      </c>
      <c r="O58" s="6">
        <v>113</v>
      </c>
      <c r="P58" s="6">
        <v>128</v>
      </c>
    </row>
    <row r="59" spans="2:16" x14ac:dyDescent="0.2">
      <c r="B59" s="6" t="s">
        <v>68</v>
      </c>
      <c r="O59" s="6">
        <v>514</v>
      </c>
      <c r="P59" s="6">
        <v>548</v>
      </c>
    </row>
    <row r="60" spans="2:16" x14ac:dyDescent="0.2">
      <c r="B60" s="6" t="s">
        <v>53</v>
      </c>
      <c r="O60" s="6">
        <v>373</v>
      </c>
      <c r="P60" s="6">
        <v>353</v>
      </c>
    </row>
    <row r="61" spans="2:16" x14ac:dyDescent="0.2">
      <c r="B61" s="6" t="s">
        <v>57</v>
      </c>
      <c r="O61" s="6">
        <v>376</v>
      </c>
      <c r="P61" s="6">
        <v>446</v>
      </c>
    </row>
    <row r="62" spans="2:16" x14ac:dyDescent="0.2">
      <c r="B62" s="6" t="s">
        <v>59</v>
      </c>
      <c r="O62" s="6">
        <f>SUM(O51:O61)</f>
        <v>13261</v>
      </c>
      <c r="P62" s="6">
        <f>SUM(P51:P61)</f>
        <v>16125</v>
      </c>
    </row>
    <row r="63" spans="2:16" x14ac:dyDescent="0.2">
      <c r="B63" s="6" t="s">
        <v>58</v>
      </c>
      <c r="O63" s="6">
        <f>O49-O62</f>
        <v>16518</v>
      </c>
      <c r="P63" s="6">
        <f>P49-P62</f>
        <v>14105</v>
      </c>
    </row>
    <row r="64" spans="2:16" x14ac:dyDescent="0.2">
      <c r="B64" s="6" t="s">
        <v>60</v>
      </c>
      <c r="O64" s="6">
        <f>O63+O62</f>
        <v>29779</v>
      </c>
      <c r="P64" s="6">
        <f>P63+P62</f>
        <v>30230</v>
      </c>
    </row>
    <row r="66" spans="2:22" x14ac:dyDescent="0.2">
      <c r="B66" s="6" t="s">
        <v>69</v>
      </c>
      <c r="O66" s="6">
        <f>O41/O9*360</f>
        <v>41.250966046679373</v>
      </c>
      <c r="P66" s="6">
        <f>P41/P9*360</f>
        <v>34.68588700302255</v>
      </c>
    </row>
    <row r="67" spans="2:22" x14ac:dyDescent="0.2">
      <c r="P67" s="14"/>
      <c r="Q67" s="14"/>
      <c r="R67" s="14"/>
    </row>
    <row r="68" spans="2:22" s="10" customFormat="1" x14ac:dyDescent="0.2">
      <c r="B68" s="6" t="s">
        <v>70</v>
      </c>
      <c r="N68" s="10">
        <f t="shared" ref="N68:V68" si="37">N23</f>
        <v>4884</v>
      </c>
      <c r="O68" s="10">
        <f t="shared" si="37"/>
        <v>5350</v>
      </c>
      <c r="P68" s="10">
        <f t="shared" si="37"/>
        <v>6418</v>
      </c>
      <c r="Q68" s="10">
        <f t="shared" si="37"/>
        <v>7196.5694614624499</v>
      </c>
      <c r="R68" s="10">
        <f t="shared" si="37"/>
        <v>7992.6168415197662</v>
      </c>
      <c r="S68" s="10">
        <f t="shared" si="37"/>
        <v>8865.4358726106057</v>
      </c>
      <c r="T68" s="10">
        <f t="shared" si="37"/>
        <v>9822.2506084860379</v>
      </c>
      <c r="U68" s="10">
        <f t="shared" si="37"/>
        <v>10870.960045365055</v>
      </c>
      <c r="V68" s="10">
        <f t="shared" si="37"/>
        <v>10484.065806493358</v>
      </c>
    </row>
    <row r="69" spans="2:22" x14ac:dyDescent="0.2">
      <c r="B69" s="6" t="s">
        <v>71</v>
      </c>
      <c r="N69" s="6">
        <v>4756</v>
      </c>
      <c r="O69" s="6">
        <v>5428</v>
      </c>
      <c r="P69" s="6">
        <v>5560</v>
      </c>
    </row>
    <row r="70" spans="2:22" x14ac:dyDescent="0.2">
      <c r="B70" s="6" t="s">
        <v>72</v>
      </c>
      <c r="N70" s="6">
        <v>856</v>
      </c>
      <c r="O70" s="6">
        <v>872</v>
      </c>
      <c r="P70" s="6">
        <v>857</v>
      </c>
      <c r="Q70" s="6">
        <f t="shared" ref="Q70:V70" si="38">P70*(1+Q27)</f>
        <v>940.48825854452457</v>
      </c>
      <c r="R70" s="6">
        <f t="shared" si="38"/>
        <v>1025.1322018135318</v>
      </c>
      <c r="S70" s="6">
        <f t="shared" si="38"/>
        <v>1117.3940999767497</v>
      </c>
      <c r="T70" s="6">
        <f t="shared" si="38"/>
        <v>1217.9595689746573</v>
      </c>
      <c r="U70" s="6">
        <f t="shared" si="38"/>
        <v>1327.5759301823764</v>
      </c>
      <c r="V70" s="6">
        <f t="shared" si="38"/>
        <v>1340.8516894842003</v>
      </c>
    </row>
    <row r="71" spans="2:22" x14ac:dyDescent="0.2">
      <c r="B71" s="6" t="s">
        <v>73</v>
      </c>
      <c r="N71" s="6">
        <v>1440</v>
      </c>
      <c r="O71" s="6">
        <v>1718</v>
      </c>
      <c r="P71" s="6">
        <v>1833</v>
      </c>
      <c r="Q71" s="6">
        <f>P71*1.13</f>
        <v>2071.29</v>
      </c>
      <c r="R71" s="6">
        <f t="shared" ref="R71:V71" si="39">Q71*1.13</f>
        <v>2340.5576999999998</v>
      </c>
      <c r="S71" s="6">
        <f t="shared" si="39"/>
        <v>2644.8302009999998</v>
      </c>
      <c r="T71" s="6">
        <f t="shared" si="39"/>
        <v>2988.6581271299992</v>
      </c>
      <c r="U71" s="6">
        <f t="shared" si="39"/>
        <v>3377.1836836568987</v>
      </c>
      <c r="V71" s="6">
        <f t="shared" si="39"/>
        <v>3816.2175625322952</v>
      </c>
    </row>
    <row r="72" spans="2:22" x14ac:dyDescent="0.2">
      <c r="B72" s="6" t="s">
        <v>74</v>
      </c>
      <c r="N72" s="6">
        <v>83</v>
      </c>
      <c r="O72" s="6">
        <v>72</v>
      </c>
      <c r="P72" s="6">
        <v>77</v>
      </c>
      <c r="Q72" s="6">
        <f t="shared" ref="Q72:V72" si="40">P72*(1+Q27)</f>
        <v>84.501278772378527</v>
      </c>
      <c r="R72" s="6">
        <f t="shared" si="40"/>
        <v>92.106393861892599</v>
      </c>
      <c r="S72" s="6">
        <f t="shared" si="40"/>
        <v>100.39596930946294</v>
      </c>
      <c r="T72" s="6">
        <f t="shared" si="40"/>
        <v>109.43160654731462</v>
      </c>
      <c r="U72" s="6">
        <f t="shared" si="40"/>
        <v>119.28045113657294</v>
      </c>
      <c r="V72" s="6">
        <f t="shared" si="40"/>
        <v>120.47325564793867</v>
      </c>
    </row>
    <row r="73" spans="2:22" x14ac:dyDescent="0.2">
      <c r="B73" s="6" t="s">
        <v>75</v>
      </c>
      <c r="N73" s="6">
        <v>0</v>
      </c>
      <c r="O73" s="6">
        <v>0</v>
      </c>
      <c r="P73" s="6">
        <v>78</v>
      </c>
      <c r="Q73" s="6">
        <f t="shared" ref="Q73:V73" si="41">P73*(1+Q27)</f>
        <v>85.598697977214599</v>
      </c>
      <c r="R73" s="6">
        <f t="shared" si="41"/>
        <v>93.302580795163919</v>
      </c>
      <c r="S73" s="6">
        <f t="shared" si="41"/>
        <v>101.69981306672868</v>
      </c>
      <c r="T73" s="6">
        <f t="shared" si="41"/>
        <v>110.85279624273427</v>
      </c>
      <c r="U73" s="6">
        <f t="shared" si="41"/>
        <v>120.82954790458037</v>
      </c>
      <c r="V73" s="6">
        <f t="shared" si="41"/>
        <v>122.03784338362617</v>
      </c>
    </row>
    <row r="74" spans="2:22" x14ac:dyDescent="0.2">
      <c r="B74" s="6" t="s">
        <v>46</v>
      </c>
      <c r="N74" s="6">
        <v>328</v>
      </c>
      <c r="O74" s="6">
        <v>-426</v>
      </c>
      <c r="P74" s="6">
        <v>-468</v>
      </c>
      <c r="Q74" s="6">
        <f t="shared" ref="Q74:V74" si="42">P74*(1+Q27)</f>
        <v>-513.59218786328768</v>
      </c>
      <c r="R74" s="6">
        <f t="shared" si="42"/>
        <v>-559.81548477098363</v>
      </c>
      <c r="S74" s="6">
        <f t="shared" si="42"/>
        <v>-610.19887840037222</v>
      </c>
      <c r="T74" s="6">
        <f t="shared" si="42"/>
        <v>-665.11677745640577</v>
      </c>
      <c r="U74" s="6">
        <f t="shared" si="42"/>
        <v>-724.97728742748234</v>
      </c>
      <c r="V74" s="6">
        <f t="shared" si="42"/>
        <v>-732.22706030175721</v>
      </c>
    </row>
    <row r="75" spans="2:22" x14ac:dyDescent="0.2">
      <c r="B75" s="6" t="s">
        <v>76</v>
      </c>
      <c r="N75" s="6">
        <v>29</v>
      </c>
      <c r="O75" s="6">
        <v>-10</v>
      </c>
      <c r="P75" s="6">
        <v>-35</v>
      </c>
      <c r="Q75" s="6">
        <f t="shared" ref="Q75:V75" si="43">P75*(1+Q27)</f>
        <v>-38.409672169262961</v>
      </c>
      <c r="R75" s="6">
        <f t="shared" si="43"/>
        <v>-41.866542664496635</v>
      </c>
      <c r="S75" s="6">
        <f t="shared" si="43"/>
        <v>-45.634531504301336</v>
      </c>
      <c r="T75" s="6">
        <f t="shared" si="43"/>
        <v>-49.741639339688462</v>
      </c>
      <c r="U75" s="6">
        <f t="shared" si="43"/>
        <v>-54.218386880260425</v>
      </c>
      <c r="V75" s="6">
        <f t="shared" si="43"/>
        <v>-54.760570749063028</v>
      </c>
    </row>
    <row r="76" spans="2:22" x14ac:dyDescent="0.2">
      <c r="B76" s="6" t="s">
        <v>77</v>
      </c>
      <c r="N76" s="6">
        <v>10</v>
      </c>
      <c r="O76" s="6">
        <v>3</v>
      </c>
      <c r="P76" s="6">
        <v>10</v>
      </c>
      <c r="Q76" s="6">
        <f t="shared" ref="Q76:V76" si="44">P76*(1+Q27)</f>
        <v>10.974192048360846</v>
      </c>
      <c r="R76" s="6">
        <f t="shared" si="44"/>
        <v>11.961869332713324</v>
      </c>
      <c r="S76" s="6">
        <f t="shared" si="44"/>
        <v>13.038437572657523</v>
      </c>
      <c r="T76" s="6">
        <f t="shared" si="44"/>
        <v>14.211896954196702</v>
      </c>
      <c r="U76" s="6">
        <f t="shared" si="44"/>
        <v>15.490967680074405</v>
      </c>
      <c r="V76" s="6">
        <f t="shared" si="44"/>
        <v>15.645877356875149</v>
      </c>
    </row>
    <row r="77" spans="2:22" x14ac:dyDescent="0.2">
      <c r="B77" s="6" t="s">
        <v>40</v>
      </c>
      <c r="N77" s="6">
        <v>-198</v>
      </c>
      <c r="O77" s="6">
        <v>-159</v>
      </c>
      <c r="P77" s="6">
        <v>143</v>
      </c>
      <c r="Q77" s="6">
        <v>0</v>
      </c>
      <c r="R77" s="6">
        <f>Q77*(1+R27)</f>
        <v>0</v>
      </c>
      <c r="S77" s="6">
        <f>R77*(1+S27)</f>
        <v>0</v>
      </c>
      <c r="T77" s="6">
        <f>S77*(1+T27)</f>
        <v>0</v>
      </c>
      <c r="U77" s="6">
        <f>T77*(1+U27)</f>
        <v>0</v>
      </c>
      <c r="V77" s="6">
        <f>U77*(1+V27)</f>
        <v>0</v>
      </c>
    </row>
    <row r="78" spans="2:22" x14ac:dyDescent="0.2">
      <c r="B78" s="6" t="s">
        <v>41</v>
      </c>
      <c r="N78" s="6">
        <v>-94</v>
      </c>
      <c r="O78" s="6">
        <v>-818</v>
      </c>
      <c r="P78" s="6">
        <v>-616</v>
      </c>
      <c r="Q78" s="6">
        <f t="shared" ref="Q78:V78" si="45">P78*(1+Q27)</f>
        <v>-676.01023017902821</v>
      </c>
      <c r="R78" s="6">
        <f t="shared" si="45"/>
        <v>-736.85115089514079</v>
      </c>
      <c r="S78" s="6">
        <f t="shared" si="45"/>
        <v>-803.16775447570353</v>
      </c>
      <c r="T78" s="6">
        <f t="shared" si="45"/>
        <v>-875.45285237851692</v>
      </c>
      <c r="U78" s="6">
        <f t="shared" si="45"/>
        <v>-954.24360909258348</v>
      </c>
      <c r="V78" s="6">
        <f t="shared" si="45"/>
        <v>-963.78604518350937</v>
      </c>
    </row>
    <row r="79" spans="2:22" x14ac:dyDescent="0.2">
      <c r="B79" s="6" t="s">
        <v>78</v>
      </c>
      <c r="N79" s="6">
        <v>66</v>
      </c>
      <c r="O79" s="6">
        <v>-49</v>
      </c>
      <c r="P79" s="6">
        <v>44</v>
      </c>
      <c r="Q79" s="6">
        <f t="shared" ref="Q79:V79" si="46">P79*(1+Q27)</f>
        <v>48.286445012787723</v>
      </c>
      <c r="R79" s="6">
        <f t="shared" si="46"/>
        <v>52.63222506393862</v>
      </c>
      <c r="S79" s="6">
        <f t="shared" si="46"/>
        <v>57.369125319693097</v>
      </c>
      <c r="T79" s="6">
        <f t="shared" si="46"/>
        <v>62.53234659846548</v>
      </c>
      <c r="U79" s="6">
        <f t="shared" si="46"/>
        <v>68.160257792327386</v>
      </c>
      <c r="V79" s="6">
        <f t="shared" si="46"/>
        <v>68.841860370250657</v>
      </c>
    </row>
    <row r="80" spans="2:22" x14ac:dyDescent="0.2">
      <c r="B80" s="6" t="s">
        <v>50</v>
      </c>
      <c r="N80" s="6">
        <v>7</v>
      </c>
      <c r="O80" s="6">
        <v>146</v>
      </c>
      <c r="P80" s="6">
        <v>196</v>
      </c>
      <c r="Q80" s="6">
        <f t="shared" ref="Q80:V80" si="47">P80*(1+Q27)</f>
        <v>215.09416414787259</v>
      </c>
      <c r="R80" s="6">
        <f t="shared" si="47"/>
        <v>234.45263892118115</v>
      </c>
      <c r="S80" s="6">
        <f t="shared" si="47"/>
        <v>255.55337642408747</v>
      </c>
      <c r="T80" s="6">
        <f t="shared" si="47"/>
        <v>278.55318030225538</v>
      </c>
      <c r="U80" s="6">
        <f t="shared" si="47"/>
        <v>303.62296652945838</v>
      </c>
      <c r="V80" s="6">
        <f t="shared" si="47"/>
        <v>306.65919619475295</v>
      </c>
    </row>
    <row r="81" spans="1:114" x14ac:dyDescent="0.2">
      <c r="B81" s="6" t="s">
        <v>52</v>
      </c>
      <c r="N81" s="6">
        <v>19</v>
      </c>
      <c r="O81" s="6">
        <v>-11</v>
      </c>
      <c r="P81" s="6">
        <v>68</v>
      </c>
      <c r="Q81" s="6">
        <f t="shared" ref="Q81:V81" si="48">P81*(1+Q27)</f>
        <v>74.624505928853765</v>
      </c>
      <c r="R81" s="6">
        <f t="shared" si="48"/>
        <v>81.340711462450614</v>
      </c>
      <c r="S81" s="6">
        <f t="shared" si="48"/>
        <v>88.66137549407118</v>
      </c>
      <c r="T81" s="6">
        <f t="shared" si="48"/>
        <v>96.640899288537597</v>
      </c>
      <c r="U81" s="6">
        <f t="shared" si="48"/>
        <v>105.33858022450599</v>
      </c>
      <c r="V81" s="6">
        <f t="shared" si="48"/>
        <v>106.39196602675105</v>
      </c>
    </row>
    <row r="82" spans="1:114" x14ac:dyDescent="0.2">
      <c r="B82" s="6" t="s">
        <v>79</v>
      </c>
      <c r="N82" s="6">
        <v>536</v>
      </c>
      <c r="O82" s="6">
        <v>536</v>
      </c>
      <c r="P82" s="6">
        <v>309</v>
      </c>
      <c r="Q82" s="6">
        <v>0</v>
      </c>
      <c r="R82" s="6">
        <f>Q82*(1+R27)</f>
        <v>0</v>
      </c>
      <c r="S82" s="6">
        <f>R82*(1+S27)</f>
        <v>0</v>
      </c>
      <c r="T82" s="6">
        <f>S82*(1+T27)</f>
        <v>0</v>
      </c>
      <c r="U82" s="6">
        <f>T82*(1+U27)</f>
        <v>0</v>
      </c>
      <c r="V82" s="6">
        <f>U82*(1+V27)</f>
        <v>0</v>
      </c>
    </row>
    <row r="83" spans="1:114" s="10" customFormat="1" x14ac:dyDescent="0.2">
      <c r="A83" s="6"/>
      <c r="B83" s="10" t="s">
        <v>26</v>
      </c>
      <c r="C83" s="1"/>
      <c r="D83" s="1"/>
      <c r="E83" s="1"/>
      <c r="F83" s="1"/>
      <c r="H83" s="1"/>
      <c r="I83" s="1"/>
      <c r="J83" s="1"/>
      <c r="N83" s="10">
        <f>SUM(N69:N82)</f>
        <v>7838</v>
      </c>
      <c r="O83" s="10">
        <f t="shared" ref="O83:P83" si="49">SUM(O69:O82)</f>
        <v>7302</v>
      </c>
      <c r="P83" s="10">
        <f t="shared" si="49"/>
        <v>8056</v>
      </c>
      <c r="Q83" s="10">
        <f>SUM(Q68:Q82)</f>
        <v>9499.4149136828673</v>
      </c>
      <c r="R83" s="10">
        <f t="shared" ref="R83:U83" si="50">SUM(R68:R82)</f>
        <v>10585.569984440017</v>
      </c>
      <c r="S83" s="10">
        <f t="shared" si="50"/>
        <v>11785.37710639368</v>
      </c>
      <c r="T83" s="10">
        <f t="shared" si="50"/>
        <v>13110.779761349586</v>
      </c>
      <c r="U83" s="10">
        <f t="shared" si="50"/>
        <v>14575.003147071522</v>
      </c>
      <c r="V83" s="10">
        <f t="shared" ref="V83" si="51">SUM(V68:V82)</f>
        <v>14630.411381255717</v>
      </c>
    </row>
    <row r="84" spans="1:114" x14ac:dyDescent="0.2">
      <c r="B84" s="6" t="s">
        <v>81</v>
      </c>
      <c r="N84" s="6">
        <v>-909</v>
      </c>
      <c r="O84" s="6">
        <v>0</v>
      </c>
      <c r="P84" s="6">
        <v>-59</v>
      </c>
    </row>
    <row r="85" spans="1:114" x14ac:dyDescent="0.2">
      <c r="B85" s="6" t="s">
        <v>80</v>
      </c>
      <c r="N85" s="6">
        <v>683</v>
      </c>
      <c r="O85" s="6">
        <v>965</v>
      </c>
      <c r="P85" s="6">
        <v>486</v>
      </c>
      <c r="X85" s="6" t="s">
        <v>30</v>
      </c>
      <c r="Y85" s="15">
        <v>0.02</v>
      </c>
    </row>
    <row r="86" spans="1:114" x14ac:dyDescent="0.2">
      <c r="B86" s="6" t="s">
        <v>82</v>
      </c>
      <c r="N86" s="6">
        <v>270</v>
      </c>
      <c r="O86" s="6">
        <v>223</v>
      </c>
      <c r="P86" s="6">
        <v>11</v>
      </c>
      <c r="X86" s="6" t="s">
        <v>31</v>
      </c>
      <c r="Y86" s="15">
        <v>0.01</v>
      </c>
    </row>
    <row r="87" spans="1:114" x14ac:dyDescent="0.2">
      <c r="B87" s="6" t="s">
        <v>83</v>
      </c>
      <c r="N87" s="6">
        <v>-126</v>
      </c>
      <c r="O87" s="6">
        <v>0</v>
      </c>
      <c r="P87" s="6">
        <v>0</v>
      </c>
      <c r="X87" s="6" t="s">
        <v>32</v>
      </c>
      <c r="Y87" s="11">
        <v>8.5000000000000006E-2</v>
      </c>
    </row>
    <row r="88" spans="1:114" x14ac:dyDescent="0.2">
      <c r="B88" s="6" t="s">
        <v>84</v>
      </c>
      <c r="N88" s="6">
        <v>-442</v>
      </c>
      <c r="O88" s="6">
        <v>-360</v>
      </c>
      <c r="P88" s="6">
        <v>-183</v>
      </c>
      <c r="X88" s="6" t="s">
        <v>33</v>
      </c>
      <c r="Y88" s="10">
        <f>NPV(Y87,Q92:DJ92)+main!O5-main!O6</f>
        <v>170248.34032398465</v>
      </c>
    </row>
    <row r="89" spans="1:114" x14ac:dyDescent="0.2">
      <c r="B89" s="6" t="s">
        <v>85</v>
      </c>
      <c r="N89" s="6">
        <v>-46</v>
      </c>
      <c r="O89" s="6">
        <v>-53</v>
      </c>
      <c r="P89" s="6">
        <v>-108</v>
      </c>
      <c r="X89" s="6" t="s">
        <v>0</v>
      </c>
      <c r="Y89" s="9">
        <f>Y88/main!O3</f>
        <v>399.45645312994992</v>
      </c>
    </row>
    <row r="90" spans="1:114" x14ac:dyDescent="0.2">
      <c r="B90" s="6" t="s">
        <v>86</v>
      </c>
      <c r="N90" s="6">
        <v>0</v>
      </c>
      <c r="O90" s="6">
        <v>1</v>
      </c>
      <c r="P90" s="6">
        <v>2</v>
      </c>
      <c r="X90" s="6" t="s">
        <v>34</v>
      </c>
      <c r="Y90" s="14">
        <f>Y89/main!O2-1</f>
        <v>3.2187217390051481E-2</v>
      </c>
    </row>
    <row r="91" spans="1:114" s="10" customFormat="1" x14ac:dyDescent="0.2">
      <c r="A91" s="6"/>
      <c r="B91" s="10" t="s">
        <v>87</v>
      </c>
      <c r="C91" s="1"/>
      <c r="D91" s="1"/>
      <c r="E91" s="1"/>
      <c r="F91" s="1"/>
      <c r="H91" s="1"/>
      <c r="I91" s="1"/>
      <c r="J91" s="1"/>
      <c r="N91" s="10">
        <f>N88+N87</f>
        <v>-568</v>
      </c>
      <c r="O91" s="10">
        <f t="shared" ref="O91:P91" si="52">O88+O87</f>
        <v>-360</v>
      </c>
      <c r="P91" s="10">
        <f t="shared" si="52"/>
        <v>-183</v>
      </c>
      <c r="Q91" s="10">
        <v>-300</v>
      </c>
      <c r="R91" s="10">
        <f>Q91*(1+R27)</f>
        <v>-327</v>
      </c>
      <c r="S91" s="10">
        <f>R91*(1+S27)</f>
        <v>-356.43</v>
      </c>
      <c r="T91" s="10">
        <f>S91*(1+T27)</f>
        <v>-388.50870000000003</v>
      </c>
      <c r="U91" s="10">
        <f>T91*(1+U27)</f>
        <v>-423.47448300000008</v>
      </c>
      <c r="V91" s="10">
        <f>U91*(1+V27)</f>
        <v>-427.70922783000009</v>
      </c>
    </row>
    <row r="92" spans="1:114" s="10" customFormat="1" x14ac:dyDescent="0.2">
      <c r="A92" s="6"/>
      <c r="B92" s="10" t="s">
        <v>27</v>
      </c>
      <c r="C92" s="1"/>
      <c r="D92" s="1"/>
      <c r="E92" s="1"/>
      <c r="F92" s="1"/>
      <c r="H92" s="1"/>
      <c r="I92" s="1"/>
      <c r="J92" s="1"/>
      <c r="N92" s="10">
        <f>N83+N91</f>
        <v>7270</v>
      </c>
      <c r="O92" s="10">
        <f t="shared" ref="O92:U92" si="53">O83+O91</f>
        <v>6942</v>
      </c>
      <c r="P92" s="10">
        <f t="shared" si="53"/>
        <v>7873</v>
      </c>
      <c r="Q92" s="10">
        <f t="shared" si="53"/>
        <v>9199.4149136828673</v>
      </c>
      <c r="R92" s="10">
        <f t="shared" si="53"/>
        <v>10258.569984440017</v>
      </c>
      <c r="S92" s="10">
        <f t="shared" si="53"/>
        <v>11428.94710639368</v>
      </c>
      <c r="T92" s="10">
        <f t="shared" si="53"/>
        <v>12722.271061349586</v>
      </c>
      <c r="U92" s="10">
        <f t="shared" si="53"/>
        <v>14151.528664071522</v>
      </c>
      <c r="V92" s="10">
        <f t="shared" ref="V92" si="54">V83+V91</f>
        <v>14202.702153425716</v>
      </c>
      <c r="W92" s="10">
        <f t="shared" ref="W92:BB92" si="55">V92*(1+$Y$86)</f>
        <v>14344.729174959974</v>
      </c>
      <c r="X92" s="10">
        <f t="shared" si="55"/>
        <v>14488.176466709574</v>
      </c>
      <c r="Y92" s="10">
        <f t="shared" si="55"/>
        <v>14633.05823137667</v>
      </c>
      <c r="Z92" s="10">
        <f t="shared" si="55"/>
        <v>14779.388813690437</v>
      </c>
      <c r="AA92" s="10">
        <f t="shared" si="55"/>
        <v>14927.182701827342</v>
      </c>
      <c r="AB92" s="10">
        <f t="shared" si="55"/>
        <v>15076.454528845616</v>
      </c>
      <c r="AC92" s="10">
        <f t="shared" si="55"/>
        <v>15227.219074134073</v>
      </c>
      <c r="AD92" s="10">
        <f t="shared" si="55"/>
        <v>15379.491264875414</v>
      </c>
      <c r="AE92" s="10">
        <f t="shared" si="55"/>
        <v>15533.286177524169</v>
      </c>
      <c r="AF92" s="10">
        <f t="shared" si="55"/>
        <v>15688.61903929941</v>
      </c>
      <c r="AG92" s="10">
        <f t="shared" si="55"/>
        <v>15845.505229692404</v>
      </c>
      <c r="AH92" s="10">
        <f t="shared" si="55"/>
        <v>16003.960281989328</v>
      </c>
      <c r="AI92" s="10">
        <f t="shared" si="55"/>
        <v>16163.999884809222</v>
      </c>
      <c r="AJ92" s="10">
        <f t="shared" si="55"/>
        <v>16325.639883657313</v>
      </c>
      <c r="AK92" s="10">
        <f t="shared" si="55"/>
        <v>16488.896282493886</v>
      </c>
      <c r="AL92" s="10">
        <f t="shared" si="55"/>
        <v>16653.785245318824</v>
      </c>
      <c r="AM92" s="10">
        <f t="shared" si="55"/>
        <v>16820.323097772012</v>
      </c>
      <c r="AN92" s="10">
        <f t="shared" si="55"/>
        <v>16988.526328749733</v>
      </c>
      <c r="AO92" s="10">
        <f t="shared" si="55"/>
        <v>17158.411592037231</v>
      </c>
      <c r="AP92" s="10">
        <f t="shared" si="55"/>
        <v>17329.995707957605</v>
      </c>
      <c r="AQ92" s="10">
        <f t="shared" si="55"/>
        <v>17503.295665037182</v>
      </c>
      <c r="AR92" s="10">
        <f t="shared" si="55"/>
        <v>17678.328621687553</v>
      </c>
      <c r="AS92" s="10">
        <f t="shared" si="55"/>
        <v>17855.111907904429</v>
      </c>
      <c r="AT92" s="10">
        <f t="shared" si="55"/>
        <v>18033.663026983475</v>
      </c>
      <c r="AU92" s="10">
        <f t="shared" si="55"/>
        <v>18213.999657253309</v>
      </c>
      <c r="AV92" s="10">
        <f t="shared" si="55"/>
        <v>18396.139653825841</v>
      </c>
      <c r="AW92" s="10">
        <f t="shared" si="55"/>
        <v>18580.101050364101</v>
      </c>
      <c r="AX92" s="10">
        <f t="shared" si="55"/>
        <v>18765.902060867742</v>
      </c>
      <c r="AY92" s="10">
        <f t="shared" si="55"/>
        <v>18953.561081476419</v>
      </c>
      <c r="AZ92" s="10">
        <f t="shared" si="55"/>
        <v>19143.096692291183</v>
      </c>
      <c r="BA92" s="10">
        <f t="shared" si="55"/>
        <v>19334.527659214094</v>
      </c>
      <c r="BB92" s="10">
        <f t="shared" si="55"/>
        <v>19527.872935806237</v>
      </c>
      <c r="BC92" s="10">
        <f t="shared" ref="BC92:CH92" si="56">BB92*(1+$Y$86)</f>
        <v>19723.1516651643</v>
      </c>
      <c r="BD92" s="10">
        <f t="shared" si="56"/>
        <v>19920.383181815941</v>
      </c>
      <c r="BE92" s="10">
        <f t="shared" si="56"/>
        <v>20119.5870136341</v>
      </c>
      <c r="BF92" s="10">
        <f t="shared" si="56"/>
        <v>20320.78288377044</v>
      </c>
      <c r="BG92" s="10">
        <f t="shared" si="56"/>
        <v>20523.990712608145</v>
      </c>
      <c r="BH92" s="10">
        <f t="shared" si="56"/>
        <v>20729.230619734226</v>
      </c>
      <c r="BI92" s="10">
        <f t="shared" si="56"/>
        <v>20936.522925931567</v>
      </c>
      <c r="BJ92" s="10">
        <f t="shared" si="56"/>
        <v>21145.888155190882</v>
      </c>
      <c r="BK92" s="10">
        <f t="shared" si="56"/>
        <v>21357.347036742791</v>
      </c>
      <c r="BL92" s="10">
        <f t="shared" si="56"/>
        <v>21570.920507110219</v>
      </c>
      <c r="BM92" s="10">
        <f t="shared" si="56"/>
        <v>21786.629712181322</v>
      </c>
      <c r="BN92" s="10">
        <f t="shared" si="56"/>
        <v>22004.496009303137</v>
      </c>
      <c r="BO92" s="10">
        <f t="shared" si="56"/>
        <v>22224.54096939617</v>
      </c>
      <c r="BP92" s="10">
        <f t="shared" si="56"/>
        <v>22446.786379090132</v>
      </c>
      <c r="BQ92" s="10">
        <f t="shared" si="56"/>
        <v>22671.254242881034</v>
      </c>
      <c r="BR92" s="10">
        <f t="shared" si="56"/>
        <v>22897.966785309844</v>
      </c>
      <c r="BS92" s="10">
        <f t="shared" si="56"/>
        <v>23126.946453162942</v>
      </c>
      <c r="BT92" s="10">
        <f t="shared" si="56"/>
        <v>23358.215917694572</v>
      </c>
      <c r="BU92" s="10">
        <f t="shared" si="56"/>
        <v>23591.798076871517</v>
      </c>
      <c r="BV92" s="10">
        <f t="shared" si="56"/>
        <v>23827.716057640231</v>
      </c>
      <c r="BW92" s="10">
        <f t="shared" si="56"/>
        <v>24065.993218216634</v>
      </c>
      <c r="BX92" s="10">
        <f t="shared" si="56"/>
        <v>24306.653150398801</v>
      </c>
      <c r="BY92" s="10">
        <f t="shared" si="56"/>
        <v>24549.719681902789</v>
      </c>
      <c r="BZ92" s="10">
        <f t="shared" si="56"/>
        <v>24795.216878721818</v>
      </c>
      <c r="CA92" s="10">
        <f t="shared" si="56"/>
        <v>25043.169047509036</v>
      </c>
      <c r="CB92" s="10">
        <f t="shared" si="56"/>
        <v>25293.600737984129</v>
      </c>
      <c r="CC92" s="10">
        <f t="shared" si="56"/>
        <v>25546.53674536397</v>
      </c>
      <c r="CD92" s="10">
        <f t="shared" si="56"/>
        <v>25802.002112817609</v>
      </c>
      <c r="CE92" s="10">
        <f t="shared" si="56"/>
        <v>26060.022133945786</v>
      </c>
      <c r="CF92" s="10">
        <f t="shared" si="56"/>
        <v>26320.622355285243</v>
      </c>
      <c r="CG92" s="10">
        <f t="shared" si="56"/>
        <v>26583.828578838096</v>
      </c>
      <c r="CH92" s="10">
        <f t="shared" si="56"/>
        <v>26849.666864626477</v>
      </c>
      <c r="CI92" s="10">
        <f t="shared" ref="CI92:DJ92" si="57">CH92*(1+$Y$86)</f>
        <v>27118.163533272742</v>
      </c>
      <c r="CJ92" s="10">
        <f t="shared" si="57"/>
        <v>27389.345168605469</v>
      </c>
      <c r="CK92" s="10">
        <f t="shared" si="57"/>
        <v>27663.238620291522</v>
      </c>
      <c r="CL92" s="10">
        <f t="shared" si="57"/>
        <v>27939.871006494439</v>
      </c>
      <c r="CM92" s="10">
        <f t="shared" si="57"/>
        <v>28219.269716559382</v>
      </c>
      <c r="CN92" s="10">
        <f t="shared" si="57"/>
        <v>28501.462413724978</v>
      </c>
      <c r="CO92" s="10">
        <f t="shared" si="57"/>
        <v>28786.477037862227</v>
      </c>
      <c r="CP92" s="10">
        <f t="shared" si="57"/>
        <v>29074.34180824085</v>
      </c>
      <c r="CQ92" s="10">
        <f t="shared" si="57"/>
        <v>29365.085226323259</v>
      </c>
      <c r="CR92" s="10">
        <f t="shared" si="57"/>
        <v>29658.736078586491</v>
      </c>
      <c r="CS92" s="10">
        <f t="shared" si="57"/>
        <v>29955.323439372358</v>
      </c>
      <c r="CT92" s="10">
        <f t="shared" si="57"/>
        <v>30254.876673766081</v>
      </c>
      <c r="CU92" s="10">
        <f t="shared" si="57"/>
        <v>30557.425440503743</v>
      </c>
      <c r="CV92" s="10">
        <f t="shared" si="57"/>
        <v>30862.99969490878</v>
      </c>
      <c r="CW92" s="10">
        <f t="shared" si="57"/>
        <v>31171.629691857866</v>
      </c>
      <c r="CX92" s="10">
        <f t="shared" si="57"/>
        <v>31483.345988776444</v>
      </c>
      <c r="CY92" s="10">
        <f t="shared" si="57"/>
        <v>31798.17944866421</v>
      </c>
      <c r="CZ92" s="10">
        <f t="shared" si="57"/>
        <v>32116.161243150851</v>
      </c>
      <c r="DA92" s="10">
        <f t="shared" si="57"/>
        <v>32437.322855582359</v>
      </c>
      <c r="DB92" s="10">
        <f t="shared" si="57"/>
        <v>32761.696084138184</v>
      </c>
      <c r="DC92" s="10">
        <f t="shared" si="57"/>
        <v>33089.313044979564</v>
      </c>
      <c r="DD92" s="10">
        <f t="shared" si="57"/>
        <v>33420.206175429361</v>
      </c>
      <c r="DE92" s="10">
        <f t="shared" si="57"/>
        <v>33754.408237183656</v>
      </c>
      <c r="DF92" s="10">
        <f t="shared" si="57"/>
        <v>34091.952319555494</v>
      </c>
      <c r="DG92" s="10">
        <f t="shared" si="57"/>
        <v>34432.871842751047</v>
      </c>
      <c r="DH92" s="10">
        <f t="shared" si="57"/>
        <v>34777.200561178557</v>
      </c>
      <c r="DI92" s="10">
        <f t="shared" si="57"/>
        <v>35124.97256679034</v>
      </c>
      <c r="DJ92" s="10">
        <f t="shared" si="57"/>
        <v>35476.222292458246</v>
      </c>
    </row>
    <row r="93" spans="1:114" x14ac:dyDescent="0.2">
      <c r="N93" s="14"/>
      <c r="O93" s="14"/>
      <c r="P93" s="14"/>
    </row>
    <row r="94" spans="1:114" x14ac:dyDescent="0.2">
      <c r="P94" s="14"/>
      <c r="Q94" s="14"/>
      <c r="R94" s="14"/>
      <c r="S94" s="14"/>
      <c r="T94" s="14"/>
      <c r="U94" s="14"/>
      <c r="V94" s="14"/>
    </row>
  </sheetData>
  <hyperlinks>
    <hyperlink ref="A1" location="Sheet1!A1" display="Main" xr:uid="{23B09628-C10F-428D-B1F6-3DB7F50BA868}"/>
  </hyperlink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2025-04-18T01:52:05Z</dcterms:created>
  <dcterms:modified xsi:type="dcterms:W3CDTF">2025-06-26T05:55:27Z</dcterms:modified>
</cp:coreProperties>
</file>