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BD77990-0FCB-40D7-8474-5694AC8424A4}" xr6:coauthVersionLast="47" xr6:coauthVersionMax="47" xr10:uidLastSave="{00000000-0000-0000-0000-000000000000}"/>
  <bookViews>
    <workbookView xWindow="2385" yWindow="945" windowWidth="21945" windowHeight="13935" xr2:uid="{064F155A-1D51-4B30-AF6C-CB05754649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/>
  <c r="R2" i="2" s="1"/>
  <c r="S2" i="2" s="1"/>
  <c r="P7" i="2"/>
  <c r="Q7" i="2"/>
  <c r="R7" i="2"/>
  <c r="S7" i="2"/>
  <c r="O7" i="2"/>
  <c r="P8" i="2" l="1"/>
  <c r="Q8" i="2" s="1"/>
  <c r="R8" i="2" s="1"/>
  <c r="S8" i="2" s="1"/>
  <c r="O8" i="2"/>
  <c r="M26" i="2"/>
  <c r="N26" i="2"/>
  <c r="M25" i="2"/>
  <c r="N25" i="2"/>
  <c r="O10" i="2" l="1"/>
  <c r="Q10" i="2"/>
  <c r="P10" i="2"/>
  <c r="O2" i="2"/>
  <c r="N20" i="2"/>
  <c r="M20" i="2"/>
  <c r="S10" i="2" l="1"/>
  <c r="R10" i="2"/>
  <c r="O20" i="2"/>
  <c r="M36" i="2"/>
  <c r="N36" i="2"/>
  <c r="O36" i="2"/>
  <c r="P36" i="2"/>
  <c r="Q36" i="2"/>
  <c r="R36" i="2"/>
  <c r="S36" i="2"/>
  <c r="L36" i="2"/>
  <c r="D36" i="2"/>
  <c r="E36" i="2"/>
  <c r="F36" i="2"/>
  <c r="G36" i="2"/>
  <c r="H36" i="2"/>
  <c r="I36" i="2"/>
  <c r="J36" i="2"/>
  <c r="C36" i="2"/>
  <c r="N32" i="2"/>
  <c r="N31" i="2"/>
  <c r="N30" i="2"/>
  <c r="O12" i="2" s="1"/>
  <c r="G32" i="2"/>
  <c r="G31" i="2"/>
  <c r="M28" i="2"/>
  <c r="D28" i="2"/>
  <c r="E28" i="2"/>
  <c r="F28" i="2"/>
  <c r="G28" i="2"/>
  <c r="H23" i="2"/>
  <c r="G20" i="2"/>
  <c r="O18" i="2"/>
  <c r="P18" i="2" s="1"/>
  <c r="Q18" i="2" s="1"/>
  <c r="R18" i="2" s="1"/>
  <c r="S18" i="2" s="1"/>
  <c r="N5" i="2"/>
  <c r="N6" i="2"/>
  <c r="N10" i="2"/>
  <c r="N28" i="2" s="1"/>
  <c r="M10" i="2"/>
  <c r="M5" i="2"/>
  <c r="M6" i="2" s="1"/>
  <c r="L10" i="2"/>
  <c r="L28" i="2" s="1"/>
  <c r="L5" i="2"/>
  <c r="L6" i="2" s="1"/>
  <c r="I5" i="2"/>
  <c r="J5" i="2"/>
  <c r="J6" i="2" s="1"/>
  <c r="I6" i="2"/>
  <c r="I23" i="2" s="1"/>
  <c r="I10" i="2"/>
  <c r="I28" i="2" s="1"/>
  <c r="J10" i="2"/>
  <c r="J28" i="2" s="1"/>
  <c r="H18" i="2"/>
  <c r="I18" i="2" s="1"/>
  <c r="D5" i="2"/>
  <c r="D6" i="2" s="1"/>
  <c r="D23" i="2" s="1"/>
  <c r="E5" i="2"/>
  <c r="E6" i="2" s="1"/>
  <c r="E23" i="2" s="1"/>
  <c r="F5" i="2"/>
  <c r="F6" i="2" s="1"/>
  <c r="F11" i="2" s="1"/>
  <c r="F14" i="2" s="1"/>
  <c r="F16" i="2" s="1"/>
  <c r="F17" i="2" s="1"/>
  <c r="G5" i="2"/>
  <c r="G6" i="2" s="1"/>
  <c r="H5" i="2"/>
  <c r="H6" i="2"/>
  <c r="D10" i="2"/>
  <c r="E10" i="2"/>
  <c r="F10" i="2"/>
  <c r="G10" i="2"/>
  <c r="H10" i="2"/>
  <c r="H28" i="2" s="1"/>
  <c r="C10" i="2"/>
  <c r="C28" i="2" s="1"/>
  <c r="C5" i="2"/>
  <c r="C6" i="2" s="1"/>
  <c r="C23" i="2" s="1"/>
  <c r="M1" i="2"/>
  <c r="N1" i="2" s="1"/>
  <c r="O1" i="2" s="1"/>
  <c r="P1" i="2" s="1"/>
  <c r="Q1" i="2" s="1"/>
  <c r="R1" i="2" s="1"/>
  <c r="S1" i="2" s="1"/>
  <c r="M6" i="1"/>
  <c r="M5" i="1"/>
  <c r="M4" i="1"/>
  <c r="M7" i="1" s="1"/>
  <c r="G30" i="2" l="1"/>
  <c r="G11" i="2"/>
  <c r="G14" i="2" s="1"/>
  <c r="G16" i="2" s="1"/>
  <c r="G17" i="2" s="1"/>
  <c r="J18" i="2"/>
  <c r="J23" i="2"/>
  <c r="J11" i="2"/>
  <c r="G23" i="2"/>
  <c r="F23" i="2"/>
  <c r="I11" i="2"/>
  <c r="G24" i="2"/>
  <c r="F24" i="2"/>
  <c r="O4" i="2"/>
  <c r="O13" i="2"/>
  <c r="P20" i="2"/>
  <c r="N11" i="2"/>
  <c r="N14" i="2" s="1"/>
  <c r="N16" i="2" s="1"/>
  <c r="N17" i="2" s="1"/>
  <c r="M11" i="2"/>
  <c r="M14" i="2" s="1"/>
  <c r="M16" i="2" s="1"/>
  <c r="M17" i="2" s="1"/>
  <c r="L11" i="2"/>
  <c r="L14" i="2" s="1"/>
  <c r="L16" i="2" s="1"/>
  <c r="L17" i="2" s="1"/>
  <c r="L23" i="2"/>
  <c r="N23" i="2"/>
  <c r="O23" i="2" s="1"/>
  <c r="M23" i="2"/>
  <c r="D11" i="2"/>
  <c r="E11" i="2"/>
  <c r="H11" i="2"/>
  <c r="C11" i="2"/>
  <c r="M24" i="2" l="1"/>
  <c r="N24" i="2"/>
  <c r="L24" i="2"/>
  <c r="C14" i="2"/>
  <c r="C16" i="2" s="1"/>
  <c r="C17" i="2" s="1"/>
  <c r="C24" i="2"/>
  <c r="E14" i="2"/>
  <c r="E16" i="2" s="1"/>
  <c r="E17" i="2" s="1"/>
  <c r="E24" i="2"/>
  <c r="H14" i="2"/>
  <c r="H16" i="2" s="1"/>
  <c r="H24" i="2"/>
  <c r="P23" i="2"/>
  <c r="O3" i="2"/>
  <c r="O5" i="2" s="1"/>
  <c r="O6" i="2" s="1"/>
  <c r="D14" i="2"/>
  <c r="D16" i="2" s="1"/>
  <c r="D17" i="2" s="1"/>
  <c r="D24" i="2"/>
  <c r="I24" i="2"/>
  <c r="I14" i="2"/>
  <c r="I16" i="2" s="1"/>
  <c r="I17" i="2" s="1"/>
  <c r="J14" i="2"/>
  <c r="J16" i="2" s="1"/>
  <c r="J17" i="2" s="1"/>
  <c r="J24" i="2"/>
  <c r="P13" i="2"/>
  <c r="P4" i="2"/>
  <c r="Q20" i="2"/>
  <c r="Q23" i="2" l="1"/>
  <c r="P3" i="2"/>
  <c r="H17" i="2"/>
  <c r="H30" i="2"/>
  <c r="I30" i="2" s="1"/>
  <c r="J30" i="2" s="1"/>
  <c r="R20" i="2"/>
  <c r="Q4" i="2"/>
  <c r="R4" i="2" s="1"/>
  <c r="Q13" i="2"/>
  <c r="R13" i="2" s="1"/>
  <c r="P5" i="2"/>
  <c r="P6" i="2" s="1"/>
  <c r="R23" i="2" l="1"/>
  <c r="Q3" i="2"/>
  <c r="S20" i="2"/>
  <c r="S13" i="2" s="1"/>
  <c r="Q5" i="2"/>
  <c r="Q6" i="2" s="1"/>
  <c r="S23" i="2" l="1"/>
  <c r="S3" i="2" s="1"/>
  <c r="R3" i="2"/>
  <c r="R5" i="2" s="1"/>
  <c r="R6" i="2" s="1"/>
  <c r="S4" i="2"/>
  <c r="O28" i="2"/>
  <c r="O11" i="2"/>
  <c r="O14" i="2" s="1"/>
  <c r="O15" i="2" s="1"/>
  <c r="S5" i="2" l="1"/>
  <c r="S6" i="2" s="1"/>
  <c r="O24" i="2"/>
  <c r="O16" i="2"/>
  <c r="O17" i="2" l="1"/>
  <c r="O30" i="2"/>
  <c r="P12" i="2" l="1"/>
  <c r="Q28" i="2"/>
  <c r="Q11" i="2"/>
  <c r="Q24" i="2" s="1"/>
  <c r="R28" i="2"/>
  <c r="R11" i="2"/>
  <c r="R24" i="2" s="1"/>
  <c r="S28" i="2"/>
  <c r="S11" i="2"/>
  <c r="S24" i="2" s="1"/>
  <c r="P28" i="2"/>
  <c r="P11" i="2"/>
  <c r="P24" i="2" s="1"/>
  <c r="P14" i="2" l="1"/>
  <c r="P15" i="2" s="1"/>
  <c r="P16" i="2" l="1"/>
  <c r="P17" i="2" s="1"/>
  <c r="P30" i="2" l="1"/>
  <c r="Q12" i="2" s="1"/>
  <c r="Q14" i="2" s="1"/>
  <c r="Q15" i="2" l="1"/>
  <c r="Q16" i="2" s="1"/>
  <c r="Q17" i="2" l="1"/>
  <c r="Q30" i="2"/>
  <c r="R12" i="2" l="1"/>
  <c r="R14" i="2" s="1"/>
  <c r="R15" i="2" l="1"/>
  <c r="R16" i="2" s="1"/>
  <c r="R17" i="2" l="1"/>
  <c r="R30" i="2"/>
  <c r="S12" i="2" l="1"/>
  <c r="S14" i="2" s="1"/>
  <c r="S15" i="2" l="1"/>
  <c r="S16" i="2" s="1"/>
  <c r="S17" i="2" l="1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S30" i="2"/>
  <c r="V21" i="2" l="1"/>
  <c r="V22" i="2" s="1"/>
  <c r="V23" i="2" s="1"/>
</calcChain>
</file>

<file path=xl/sharedStrings.xml><?xml version="1.0" encoding="utf-8"?>
<sst xmlns="http://schemas.openxmlformats.org/spreadsheetml/2006/main" count="54" uniqueCount="47">
  <si>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</si>
  <si>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</si>
  <si>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</si>
  <si>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</si>
  <si>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</si>
  <si>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</si>
  <si>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</si>
  <si>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</si>
  <si>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</si>
  <si>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</si>
  <si>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</si>
  <si>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</si>
  <si>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</si>
  <si>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</si>
  <si>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</si>
  <si>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Amort</t>
  </si>
  <si>
    <t>Total COGS</t>
  </si>
  <si>
    <t>Gross Profit</t>
  </si>
  <si>
    <t>R&amp;D</t>
  </si>
  <si>
    <t>SG&amp;A</t>
  </si>
  <si>
    <t>Operating Expenses</t>
  </si>
  <si>
    <t>Operating Income</t>
  </si>
  <si>
    <t>Interest Income</t>
  </si>
  <si>
    <t>Other Income</t>
  </si>
  <si>
    <t>Pretax Income</t>
  </si>
  <si>
    <t>Tax</t>
  </si>
  <si>
    <t>Net Income</t>
  </si>
  <si>
    <t>EPS</t>
  </si>
  <si>
    <t>Revenue y/y</t>
  </si>
  <si>
    <t>Revenue q/q</t>
  </si>
  <si>
    <t>Gross Margin</t>
  </si>
  <si>
    <t>Operating Margin</t>
  </si>
  <si>
    <t>OPEX % of R</t>
  </si>
  <si>
    <t>Net Cash</t>
  </si>
  <si>
    <t>CFFO</t>
  </si>
  <si>
    <t>CX</t>
  </si>
  <si>
    <t>FCF</t>
  </si>
  <si>
    <t>Q325</t>
  </si>
  <si>
    <t>Q425</t>
  </si>
  <si>
    <t>ROIC</t>
  </si>
  <si>
    <t>Maturity</t>
  </si>
  <si>
    <t>Discount</t>
  </si>
  <si>
    <t>NPV</t>
  </si>
  <si>
    <t>R&amp;D y/y</t>
  </si>
  <si>
    <t>SG&amp;A y/y</t>
  </si>
  <si>
    <t xml:space="preserve"> 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</si>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</sst>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41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7C686E-A245-26DF-6D38-942BC0C837E0}"/>
            </a:ext>
          </a:extLst>
        </xdr:cNvPr>
        <xdr:cNvCxnSpPr/>
      </xdr:nvCxnSpPr>
      <xdr:spPr>
        <a:xfrm>
          <a:off x="4438650" y="9525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0</xdr:rowOff>
    </xdr:from>
    <xdr:to>
      <xdr:col>14</xdr:col>
      <xdr:colOff>9525</xdr:colOff>
      <xdr:row>41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ADEE263-36FD-4352-B844-AB250739DF83}"/>
            </a:ext>
          </a:extLst>
        </xdr:cNvPr>
        <xdr:cNvCxnSpPr/>
      </xdr:nvCxnSpPr>
      <xdr:spPr>
        <a:xfrm>
          <a:off x="7877175" y="0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DFD7-7527-4141-98CC-4A82BA27B866}">
  <dimension ref="A1:N7"/>
  <sheetViews>
    <sheetView tabSelected="1" zoomScale="115" zoomScaleNormal="115" workbookViewId="0">
      <selection activeCell="M3" sqref="M3"/>
    </sheetView>
  </sheetViews>
  <sheetFormatPr defaultRowHeight="12.75" x14ac:dyDescent="0.2"/>
  <cols>
    <col min="1" max="16384" width="9" style="10"/>
  </cols>
  <sheetData>
    <row r="1" spans="1:14" x14ac:dyDescent="0.2">
      <c r="A1" s="9"/>
    </row>
    <row r="2" spans="1:14" x14ac:dyDescent="0.2">
      <c r="L2" s="10" t="s">
        <v>0</v>
      </c>
      <c r="M2" s="2">
        <v>144</v>
      </c>
    </row>
    <row r="3" spans="1:14" x14ac:dyDescent="0.2">
      <c r="L3" s="10" t="s">
        <v>1</v>
      </c>
      <c r="M3" s="2">
        <v>1621.404</v>
      </c>
      <c r="N3" s="10" t="s">
        <v>6</v>
      </c>
    </row>
    <row r="4" spans="1:14" x14ac:dyDescent="0.2">
      <c r="L4" s="10" t="s">
        <v>2</v>
      </c>
      <c r="M4" s="2">
        <f>M3*M2</f>
        <v>233482.17600000001</v>
      </c>
    </row>
    <row r="5" spans="1:14" x14ac:dyDescent="0.2">
      <c r="L5" s="10" t="s">
        <v>3</v>
      </c>
      <c r="M5" s="2">
        <f>6049+1261</f>
        <v>7310</v>
      </c>
      <c r="N5" s="10" t="s">
        <v>6</v>
      </c>
    </row>
    <row r="6" spans="1:14" x14ac:dyDescent="0.2">
      <c r="L6" s="10" t="s">
        <v>4</v>
      </c>
      <c r="M6" s="2">
        <f>3217+567+343+1839</f>
        <v>5966</v>
      </c>
      <c r="N6" s="10" t="s">
        <v>6</v>
      </c>
    </row>
    <row r="7" spans="1:14" x14ac:dyDescent="0.2">
      <c r="L7" s="10" t="s">
        <v>5</v>
      </c>
      <c r="M7" s="2">
        <f>M4+M6-M5</f>
        <v>232138.17600000001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1D86-552F-46F8-BD06-F41813E5234C}">
  <dimension ref="A1:DQ36"/>
  <sheetViews>
    <sheetView zoomScale="130" zoomScaleNormal="13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2.75" x14ac:dyDescent="0.2"/>
  <cols>
    <col min="1" max="1" width="4.25" style="2" customWidth="1"/>
    <col min="2" max="2" width="18" style="2" customWidth="1"/>
    <col min="3" max="16384" width="9" style="2"/>
  </cols>
  <sheetData>
    <row r="1" spans="1:121" x14ac:dyDescent="0.2">
      <c r="A1" s="1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6</v>
      </c>
      <c r="H1" s="2" t="s">
        <v>13</v>
      </c>
      <c r="I1" s="2" t="s">
        <v>37</v>
      </c>
      <c r="J1" s="2" t="s">
        <v>38</v>
      </c>
      <c r="L1" s="3">
        <v>2022</v>
      </c>
      <c r="M1" s="3">
        <f>L1+1</f>
        <v>2023</v>
      </c>
      <c r="N1" s="3">
        <f t="shared" ref="N1:S1" si="0">M1+1</f>
        <v>2024</v>
      </c>
      <c r="O1" s="3">
        <f t="shared" si="0"/>
        <v>2025</v>
      </c>
      <c r="P1" s="3">
        <f t="shared" si="0"/>
        <v>2026</v>
      </c>
      <c r="Q1" s="3">
        <f t="shared" si="0"/>
        <v>2027</v>
      </c>
      <c r="R1" s="3">
        <f t="shared" si="0"/>
        <v>2028</v>
      </c>
      <c r="S1" s="3">
        <f t="shared" si="0"/>
        <v>2029</v>
      </c>
    </row>
    <row r="2" spans="1:121" s="4" customFormat="1" x14ac:dyDescent="0.2">
      <c r="A2" s="2"/>
      <c r="B2" s="4" t="s">
        <v>8</v>
      </c>
      <c r="C2" s="4">
        <v>5473</v>
      </c>
      <c r="G2" s="4">
        <v>7438</v>
      </c>
      <c r="L2" s="4">
        <v>23601</v>
      </c>
      <c r="M2" s="4">
        <v>22680</v>
      </c>
      <c r="N2" s="4">
        <v>25785</v>
      </c>
      <c r="O2" s="4">
        <f>N2*1.34</f>
        <v>34551.9</v>
      </c>
      <c r="P2" s="4">
        <f t="shared" ref="P2:S2" si="1">O2*1.34</f>
        <v>46299.546000000002</v>
      </c>
      <c r="Q2" s="4">
        <f t="shared" si="1"/>
        <v>62041.391640000009</v>
      </c>
      <c r="R2" s="4">
        <f t="shared" si="1"/>
        <v>83135.464797600012</v>
      </c>
      <c r="S2" s="4">
        <f t="shared" si="1"/>
        <v>111401.52282878403</v>
      </c>
    </row>
    <row r="3" spans="1:121" x14ac:dyDescent="0.2">
      <c r="B3" s="2" t="s">
        <v>14</v>
      </c>
      <c r="C3" s="2">
        <v>2683</v>
      </c>
      <c r="G3" s="2">
        <v>3451</v>
      </c>
      <c r="L3" s="2">
        <v>11550</v>
      </c>
      <c r="M3" s="2">
        <v>11278</v>
      </c>
      <c r="N3" s="2">
        <v>12114</v>
      </c>
      <c r="O3" s="2">
        <f>O2*(1-O23)</f>
        <v>16988.855</v>
      </c>
      <c r="P3" s="2">
        <f>P2*(1-P23)</f>
        <v>22059.031290999999</v>
      </c>
      <c r="Q3" s="2">
        <f>Q2*(1-Q23)</f>
        <v>28584.633238638202</v>
      </c>
      <c r="R3" s="2">
        <f>R2*(1-R23)</f>
        <v>36958.446852040448</v>
      </c>
      <c r="S3" s="2">
        <f>S2*(1-S23)</f>
        <v>47668.002660322702</v>
      </c>
    </row>
    <row r="4" spans="1:121" x14ac:dyDescent="0.2">
      <c r="B4" s="2" t="s">
        <v>15</v>
      </c>
      <c r="C4" s="2">
        <v>230</v>
      </c>
      <c r="G4" s="2">
        <v>251</v>
      </c>
      <c r="L4" s="2">
        <v>1448</v>
      </c>
      <c r="M4" s="2">
        <v>942</v>
      </c>
      <c r="N4" s="2">
        <v>946</v>
      </c>
      <c r="O4" s="2">
        <f>N4*(1+O20)</f>
        <v>1267.6400000000001</v>
      </c>
      <c r="P4" s="2">
        <f t="shared" ref="P4:S4" si="2">O4*(1+P20)</f>
        <v>1698.6376000000002</v>
      </c>
      <c r="Q4" s="2">
        <f t="shared" si="2"/>
        <v>2276.1743840000004</v>
      </c>
      <c r="R4" s="2">
        <f t="shared" si="2"/>
        <v>3050.0736745600007</v>
      </c>
      <c r="S4" s="2">
        <f t="shared" si="2"/>
        <v>4087.0987239104011</v>
      </c>
    </row>
    <row r="5" spans="1:121" x14ac:dyDescent="0.2">
      <c r="B5" s="2" t="s">
        <v>16</v>
      </c>
      <c r="C5" s="2">
        <f>SUM(C3:C4)</f>
        <v>2913</v>
      </c>
      <c r="D5" s="2">
        <f t="shared" ref="D5:H5" si="3">SUM(D3:D4)</f>
        <v>0</v>
      </c>
      <c r="E5" s="2">
        <f t="shared" si="3"/>
        <v>0</v>
      </c>
      <c r="F5" s="2">
        <f t="shared" si="3"/>
        <v>0</v>
      </c>
      <c r="G5" s="2">
        <f t="shared" si="3"/>
        <v>3702</v>
      </c>
      <c r="H5" s="2">
        <f t="shared" si="3"/>
        <v>0</v>
      </c>
      <c r="I5" s="2">
        <f t="shared" ref="I5" si="4">SUM(I3:I4)</f>
        <v>0</v>
      </c>
      <c r="J5" s="2">
        <f t="shared" ref="J5:M5" si="5">SUM(J3:J4)</f>
        <v>0</v>
      </c>
      <c r="L5" s="2">
        <f t="shared" si="5"/>
        <v>12998</v>
      </c>
      <c r="M5" s="2">
        <f t="shared" si="5"/>
        <v>12220</v>
      </c>
      <c r="N5" s="2">
        <f t="shared" ref="N5" si="6">SUM(N3:N4)</f>
        <v>13060</v>
      </c>
      <c r="O5" s="2">
        <f t="shared" ref="O5" si="7">SUM(O3:O4)</f>
        <v>18256.494999999999</v>
      </c>
      <c r="P5" s="2">
        <f t="shared" ref="P5" si="8">SUM(P3:P4)</f>
        <v>23757.668891000001</v>
      </c>
      <c r="Q5" s="2">
        <f t="shared" ref="Q5" si="9">SUM(Q3:Q4)</f>
        <v>30860.807622638204</v>
      </c>
      <c r="R5" s="2">
        <f t="shared" ref="R5" si="10">SUM(R3:R4)</f>
        <v>40008.520526600449</v>
      </c>
      <c r="S5" s="2">
        <f t="shared" ref="S5" si="11">SUM(S3:S4)</f>
        <v>51755.101384233101</v>
      </c>
    </row>
    <row r="6" spans="1:121" x14ac:dyDescent="0.2">
      <c r="B6" s="2" t="s">
        <v>17</v>
      </c>
      <c r="C6" s="2">
        <f>C2-C5</f>
        <v>2560</v>
      </c>
      <c r="D6" s="2">
        <f t="shared" ref="D6:H6" si="12">D2-D5</f>
        <v>0</v>
      </c>
      <c r="E6" s="2">
        <f t="shared" si="12"/>
        <v>0</v>
      </c>
      <c r="F6" s="2">
        <f t="shared" si="12"/>
        <v>0</v>
      </c>
      <c r="G6" s="2">
        <f t="shared" si="12"/>
        <v>3736</v>
      </c>
      <c r="H6" s="2">
        <f t="shared" si="12"/>
        <v>0</v>
      </c>
      <c r="I6" s="2">
        <f t="shared" ref="I6" si="13">I2-I5</f>
        <v>0</v>
      </c>
      <c r="J6" s="2">
        <f t="shared" ref="J6:M6" si="14">J2-J5</f>
        <v>0</v>
      </c>
      <c r="L6" s="2">
        <f t="shared" si="14"/>
        <v>10603</v>
      </c>
      <c r="M6" s="2">
        <f t="shared" si="14"/>
        <v>10460</v>
      </c>
      <c r="N6" s="2">
        <f t="shared" ref="N6" si="15">N2-N5</f>
        <v>12725</v>
      </c>
      <c r="O6" s="2">
        <f t="shared" ref="O6" si="16">O2-O5</f>
        <v>16295.405000000002</v>
      </c>
      <c r="P6" s="2">
        <f t="shared" ref="P6" si="17">P2-P5</f>
        <v>22541.877109000001</v>
      </c>
      <c r="Q6" s="2">
        <f t="shared" ref="Q6" si="18">Q2-Q5</f>
        <v>31180.584017361805</v>
      </c>
      <c r="R6" s="2">
        <f t="shared" ref="R6" si="19">R2-R5</f>
        <v>43126.944270999564</v>
      </c>
      <c r="S6" s="2">
        <f t="shared" ref="S6" si="20">S2-S5</f>
        <v>59646.421444550928</v>
      </c>
    </row>
    <row r="7" spans="1:121" x14ac:dyDescent="0.2">
      <c r="B7" s="2" t="s">
        <v>18</v>
      </c>
      <c r="C7" s="2">
        <v>1525</v>
      </c>
      <c r="G7" s="2">
        <v>1728</v>
      </c>
      <c r="L7" s="2">
        <v>5005</v>
      </c>
      <c r="M7" s="2">
        <v>5872</v>
      </c>
      <c r="N7" s="2">
        <v>6456</v>
      </c>
      <c r="O7" s="2">
        <f t="shared" ref="O7:S7" si="21">N7*1.2</f>
        <v>7747.2</v>
      </c>
      <c r="P7" s="2">
        <f t="shared" si="21"/>
        <v>9296.64</v>
      </c>
      <c r="Q7" s="2">
        <f t="shared" si="21"/>
        <v>11155.967999999999</v>
      </c>
      <c r="R7" s="2">
        <f t="shared" si="21"/>
        <v>13387.161599999998</v>
      </c>
      <c r="S7" s="2">
        <f t="shared" si="21"/>
        <v>16064.593919999996</v>
      </c>
    </row>
    <row r="8" spans="1:121" x14ac:dyDescent="0.2">
      <c r="B8" s="2" t="s">
        <v>19</v>
      </c>
      <c r="C8" s="2">
        <v>607</v>
      </c>
      <c r="G8" s="2">
        <v>886</v>
      </c>
      <c r="L8" s="2">
        <v>2336</v>
      </c>
      <c r="M8" s="2">
        <v>2352</v>
      </c>
      <c r="N8" s="2">
        <v>2783</v>
      </c>
      <c r="O8" s="2">
        <f>N8*1.1</f>
        <v>3061.3</v>
      </c>
      <c r="P8" s="2">
        <f t="shared" ref="P8:S8" si="22">O8*1.1</f>
        <v>3367.4300000000003</v>
      </c>
      <c r="Q8" s="2">
        <f t="shared" si="22"/>
        <v>3704.1730000000007</v>
      </c>
      <c r="R8" s="2">
        <f t="shared" si="22"/>
        <v>4074.5903000000012</v>
      </c>
      <c r="S8" s="2">
        <f t="shared" si="22"/>
        <v>4482.0493300000016</v>
      </c>
    </row>
    <row r="9" spans="1:121" x14ac:dyDescent="0.2">
      <c r="B9" s="2" t="s">
        <v>15</v>
      </c>
      <c r="C9" s="2">
        <v>392</v>
      </c>
      <c r="G9" s="2">
        <v>316</v>
      </c>
      <c r="L9" s="2">
        <v>2100</v>
      </c>
      <c r="M9" s="2">
        <v>1869</v>
      </c>
      <c r="N9" s="2">
        <v>1448</v>
      </c>
      <c r="Q9" s="8"/>
      <c r="R9" s="8"/>
      <c r="S9" s="8"/>
    </row>
    <row r="10" spans="1:121" x14ac:dyDescent="0.2">
      <c r="B10" s="2" t="s">
        <v>20</v>
      </c>
      <c r="C10" s="2">
        <f>SUM(C7:C9)</f>
        <v>2524</v>
      </c>
      <c r="D10" s="2">
        <f t="shared" ref="D10:H10" si="23">SUM(D7:D9)</f>
        <v>0</v>
      </c>
      <c r="E10" s="2">
        <f t="shared" si="23"/>
        <v>0</v>
      </c>
      <c r="F10" s="2">
        <f t="shared" si="23"/>
        <v>0</v>
      </c>
      <c r="G10" s="2">
        <f t="shared" si="23"/>
        <v>2930</v>
      </c>
      <c r="H10" s="2">
        <f t="shared" si="23"/>
        <v>0</v>
      </c>
      <c r="I10" s="2">
        <f t="shared" ref="I10" si="24">SUM(I7:I9)</f>
        <v>0</v>
      </c>
      <c r="J10" s="2">
        <f t="shared" ref="J10:M10" si="25">SUM(J7:J9)</f>
        <v>0</v>
      </c>
      <c r="L10" s="2">
        <f t="shared" si="25"/>
        <v>9441</v>
      </c>
      <c r="M10" s="2">
        <f t="shared" si="25"/>
        <v>10093</v>
      </c>
      <c r="N10" s="2">
        <f t="shared" ref="N10" si="26">SUM(N7:N9)</f>
        <v>10687</v>
      </c>
      <c r="O10" s="2">
        <f>SUM(O7:O9)</f>
        <v>10808.5</v>
      </c>
      <c r="P10" s="2">
        <f t="shared" ref="P10:S10" si="27">SUM(P7:P9)</f>
        <v>12664.07</v>
      </c>
      <c r="Q10" s="2">
        <f t="shared" si="27"/>
        <v>14860.141</v>
      </c>
      <c r="R10" s="2">
        <f t="shared" si="27"/>
        <v>17461.751899999999</v>
      </c>
      <c r="S10" s="2">
        <f t="shared" si="27"/>
        <v>20546.643249999997</v>
      </c>
    </row>
    <row r="11" spans="1:121" x14ac:dyDescent="0.2">
      <c r="B11" s="2" t="s">
        <v>21</v>
      </c>
      <c r="C11" s="2">
        <f>C6-C10</f>
        <v>36</v>
      </c>
      <c r="D11" s="2">
        <f t="shared" ref="D11:H11" si="28">D6-D10</f>
        <v>0</v>
      </c>
      <c r="E11" s="2">
        <f t="shared" si="28"/>
        <v>0</v>
      </c>
      <c r="F11" s="2">
        <f t="shared" si="28"/>
        <v>0</v>
      </c>
      <c r="G11" s="2">
        <f t="shared" si="28"/>
        <v>806</v>
      </c>
      <c r="H11" s="2">
        <f t="shared" si="28"/>
        <v>0</v>
      </c>
      <c r="I11" s="2">
        <f t="shared" ref="I11" si="29">I6-I10</f>
        <v>0</v>
      </c>
      <c r="J11" s="2">
        <f t="shared" ref="J11:M11" si="30">J6-J10</f>
        <v>0</v>
      </c>
      <c r="L11" s="2">
        <f t="shared" si="30"/>
        <v>1162</v>
      </c>
      <c r="M11" s="2">
        <f t="shared" si="30"/>
        <v>367</v>
      </c>
      <c r="N11" s="2">
        <f t="shared" ref="N11" si="31">N6-N10</f>
        <v>2038</v>
      </c>
      <c r="O11" s="2">
        <f t="shared" ref="O11" si="32">O6-O10</f>
        <v>5486.9050000000025</v>
      </c>
      <c r="P11" s="2">
        <f t="shared" ref="P11" si="33">P6-P10</f>
        <v>9877.8071090000012</v>
      </c>
      <c r="Q11" s="2">
        <f t="shared" ref="Q11" si="34">Q6-Q10</f>
        <v>16320.443017361806</v>
      </c>
      <c r="R11" s="2">
        <f t="shared" ref="R11" si="35">R6-R10</f>
        <v>25665.192370999564</v>
      </c>
      <c r="S11" s="2">
        <f t="shared" ref="S11" si="36">S6-S10</f>
        <v>39099.778194550934</v>
      </c>
    </row>
    <row r="12" spans="1:121" x14ac:dyDescent="0.2">
      <c r="B12" s="2" t="s">
        <v>22</v>
      </c>
      <c r="C12" s="2">
        <v>-25</v>
      </c>
      <c r="G12" s="2">
        <v>-20</v>
      </c>
      <c r="L12" s="2">
        <v>-88</v>
      </c>
      <c r="M12" s="2">
        <v>-106</v>
      </c>
      <c r="N12" s="2">
        <v>-92</v>
      </c>
      <c r="O12" s="2">
        <f>N30*$V$18</f>
        <v>26.88</v>
      </c>
      <c r="P12" s="2">
        <f>O30*$V$18</f>
        <v>118.98120000000004</v>
      </c>
      <c r="Q12" s="2">
        <f>P30*$V$18</f>
        <v>284.12987054400008</v>
      </c>
      <c r="R12" s="2">
        <f>Q30*$V$18</f>
        <v>556.77111393449286</v>
      </c>
      <c r="S12" s="2">
        <f>R30*$V$18</f>
        <v>985.65975311999796</v>
      </c>
    </row>
    <row r="13" spans="1:121" x14ac:dyDescent="0.2">
      <c r="B13" s="2" t="s">
        <v>23</v>
      </c>
      <c r="C13" s="2">
        <v>53</v>
      </c>
      <c r="G13" s="2">
        <v>39</v>
      </c>
      <c r="L13" s="2">
        <v>8</v>
      </c>
      <c r="M13" s="2">
        <v>197</v>
      </c>
      <c r="N13" s="2">
        <v>181</v>
      </c>
      <c r="O13" s="2">
        <f>N13*(1+O20)</f>
        <v>242.54000000000002</v>
      </c>
      <c r="P13" s="2">
        <f t="shared" ref="P13:S13" si="37">O13*(1+P20)</f>
        <v>325.00360000000006</v>
      </c>
      <c r="Q13" s="2">
        <f t="shared" si="37"/>
        <v>435.5048240000001</v>
      </c>
      <c r="R13" s="2">
        <f t="shared" si="37"/>
        <v>583.57646416000011</v>
      </c>
      <c r="S13" s="2">
        <f t="shared" si="37"/>
        <v>781.99246197440016</v>
      </c>
    </row>
    <row r="14" spans="1:121" x14ac:dyDescent="0.2">
      <c r="B14" s="2" t="s">
        <v>24</v>
      </c>
      <c r="C14" s="2">
        <f>SUM(C11:C13)</f>
        <v>64</v>
      </c>
      <c r="D14" s="2">
        <f t="shared" ref="D14:H14" si="38">SUM(D11:D13)</f>
        <v>0</v>
      </c>
      <c r="E14" s="2">
        <f t="shared" si="38"/>
        <v>0</v>
      </c>
      <c r="F14" s="2">
        <f t="shared" si="38"/>
        <v>0</v>
      </c>
      <c r="G14" s="2">
        <f t="shared" si="38"/>
        <v>825</v>
      </c>
      <c r="H14" s="2">
        <f t="shared" si="38"/>
        <v>0</v>
      </c>
      <c r="I14" s="2">
        <f t="shared" ref="I14" si="39">SUM(I11:I13)</f>
        <v>0</v>
      </c>
      <c r="J14" s="2">
        <f t="shared" ref="J14:M14" si="40">SUM(J11:J13)</f>
        <v>0</v>
      </c>
      <c r="L14" s="2">
        <f t="shared" si="40"/>
        <v>1082</v>
      </c>
      <c r="M14" s="2">
        <f t="shared" si="40"/>
        <v>458</v>
      </c>
      <c r="N14" s="2">
        <f t="shared" ref="N14" si="41">SUM(N11:N13)</f>
        <v>2127</v>
      </c>
      <c r="O14" s="2">
        <f t="shared" ref="O14" si="42">SUM(O11:O13)</f>
        <v>5756.3250000000025</v>
      </c>
      <c r="P14" s="2">
        <f t="shared" ref="P14" si="43">SUM(P11:P13)</f>
        <v>10321.791909000001</v>
      </c>
      <c r="Q14" s="2">
        <f t="shared" ref="Q14" si="44">SUM(Q11:Q13)</f>
        <v>17040.077711905804</v>
      </c>
      <c r="R14" s="2">
        <f t="shared" ref="R14" si="45">SUM(R11:R13)</f>
        <v>26805.539949094058</v>
      </c>
      <c r="S14" s="2">
        <f t="shared" ref="S14" si="46">SUM(S11:S13)</f>
        <v>40867.430409645327</v>
      </c>
    </row>
    <row r="15" spans="1:121" x14ac:dyDescent="0.2">
      <c r="B15" s="2" t="s">
        <v>25</v>
      </c>
      <c r="C15" s="2">
        <v>-52</v>
      </c>
      <c r="G15" s="2">
        <v>123</v>
      </c>
      <c r="L15" s="2">
        <v>-122</v>
      </c>
      <c r="M15" s="2">
        <v>-346</v>
      </c>
      <c r="N15" s="2">
        <v>381</v>
      </c>
      <c r="O15" s="2">
        <f>O14*0.2</f>
        <v>1151.2650000000006</v>
      </c>
      <c r="P15" s="2">
        <f t="shared" ref="P15:S15" si="47">P14*0.2</f>
        <v>2064.3583818000002</v>
      </c>
      <c r="Q15" s="2">
        <f t="shared" si="47"/>
        <v>3408.0155423811611</v>
      </c>
      <c r="R15" s="2">
        <f t="shared" si="47"/>
        <v>5361.1079898188118</v>
      </c>
      <c r="S15" s="2">
        <f t="shared" si="47"/>
        <v>8173.4860819290661</v>
      </c>
    </row>
    <row r="16" spans="1:121" s="4" customFormat="1" x14ac:dyDescent="0.2">
      <c r="A16" s="2"/>
      <c r="B16" s="4" t="s">
        <v>26</v>
      </c>
      <c r="C16" s="4">
        <f>C14-C15</f>
        <v>116</v>
      </c>
      <c r="D16" s="4">
        <f t="shared" ref="D16:H16" si="48">D14-D15</f>
        <v>0</v>
      </c>
      <c r="E16" s="4">
        <f t="shared" si="48"/>
        <v>0</v>
      </c>
      <c r="F16" s="4">
        <f t="shared" si="48"/>
        <v>0</v>
      </c>
      <c r="G16" s="4">
        <f t="shared" si="48"/>
        <v>702</v>
      </c>
      <c r="H16" s="4">
        <f t="shared" si="48"/>
        <v>0</v>
      </c>
      <c r="I16" s="4">
        <f t="shared" ref="I16" si="49">I14-I15</f>
        <v>0</v>
      </c>
      <c r="J16" s="4">
        <f t="shared" ref="J16:M16" si="50">J14-J15</f>
        <v>0</v>
      </c>
      <c r="L16" s="4">
        <f t="shared" si="50"/>
        <v>1204</v>
      </c>
      <c r="M16" s="4">
        <f t="shared" si="50"/>
        <v>804</v>
      </c>
      <c r="N16" s="4">
        <f t="shared" ref="N16" si="51">N14-N15</f>
        <v>1746</v>
      </c>
      <c r="O16" s="4">
        <f t="shared" ref="O16" si="52">O14-O15</f>
        <v>4605.0600000000022</v>
      </c>
      <c r="P16" s="4">
        <f t="shared" ref="P16" si="53">P14-P15</f>
        <v>8257.4335272000008</v>
      </c>
      <c r="Q16" s="4">
        <f t="shared" ref="Q16" si="54">Q14-Q15</f>
        <v>13632.062169524643</v>
      </c>
      <c r="R16" s="4">
        <f t="shared" ref="R16" si="55">R14-R15</f>
        <v>21444.431959275247</v>
      </c>
      <c r="S16" s="4">
        <f t="shared" ref="S16" si="56">S14-S15</f>
        <v>32693.944327716261</v>
      </c>
      <c r="T16" s="4">
        <f t="shared" ref="T16:AY16" si="57">S16*(1+$V$19)</f>
        <v>33020.883770993423</v>
      </c>
      <c r="U16" s="4">
        <f t="shared" si="57"/>
        <v>33351.092608703359</v>
      </c>
      <c r="V16" s="4">
        <f t="shared" si="57"/>
        <v>33684.603534790389</v>
      </c>
      <c r="W16" s="4">
        <f t="shared" si="57"/>
        <v>34021.449570138291</v>
      </c>
      <c r="X16" s="4">
        <f t="shared" si="57"/>
        <v>34361.664065839672</v>
      </c>
      <c r="Y16" s="4">
        <f t="shared" si="57"/>
        <v>34705.280706498066</v>
      </c>
      <c r="Z16" s="4">
        <f t="shared" si="57"/>
        <v>35052.333513563048</v>
      </c>
      <c r="AA16" s="4">
        <f t="shared" si="57"/>
        <v>35402.856848698677</v>
      </c>
      <c r="AB16" s="4">
        <f t="shared" si="57"/>
        <v>35756.885417185666</v>
      </c>
      <c r="AC16" s="4">
        <f t="shared" si="57"/>
        <v>36114.454271357521</v>
      </c>
      <c r="AD16" s="4">
        <f t="shared" si="57"/>
        <v>36475.598814071098</v>
      </c>
      <c r="AE16" s="4">
        <f t="shared" si="57"/>
        <v>36840.354802211812</v>
      </c>
      <c r="AF16" s="4">
        <f t="shared" si="57"/>
        <v>37208.758350233933</v>
      </c>
      <c r="AG16" s="4">
        <f t="shared" si="57"/>
        <v>37580.845933736273</v>
      </c>
      <c r="AH16" s="4">
        <f t="shared" si="57"/>
        <v>37956.654393073637</v>
      </c>
      <c r="AI16" s="4">
        <f t="shared" si="57"/>
        <v>38336.220937004371</v>
      </c>
      <c r="AJ16" s="4">
        <f t="shared" si="57"/>
        <v>38719.583146374418</v>
      </c>
      <c r="AK16" s="4">
        <f t="shared" si="57"/>
        <v>39106.778977838163</v>
      </c>
      <c r="AL16" s="4">
        <f t="shared" si="57"/>
        <v>39497.846767616546</v>
      </c>
      <c r="AM16" s="4">
        <f t="shared" si="57"/>
        <v>39892.825235292708</v>
      </c>
      <c r="AN16" s="4">
        <f t="shared" si="57"/>
        <v>40291.753487645634</v>
      </c>
      <c r="AO16" s="4">
        <f t="shared" si="57"/>
        <v>40694.671022522089</v>
      </c>
      <c r="AP16" s="4">
        <f t="shared" si="57"/>
        <v>41101.617732747312</v>
      </c>
      <c r="AQ16" s="4">
        <f t="shared" si="57"/>
        <v>41512.633910074786</v>
      </c>
      <c r="AR16" s="4">
        <f t="shared" si="57"/>
        <v>41927.760249175531</v>
      </c>
      <c r="AS16" s="4">
        <f t="shared" si="57"/>
        <v>42347.037851667286</v>
      </c>
      <c r="AT16" s="4">
        <f t="shared" si="57"/>
        <v>42770.508230183957</v>
      </c>
      <c r="AU16" s="4">
        <f t="shared" si="57"/>
        <v>43198.213312485801</v>
      </c>
      <c r="AV16" s="4">
        <f t="shared" si="57"/>
        <v>43630.195445610661</v>
      </c>
      <c r="AW16" s="4">
        <f t="shared" si="57"/>
        <v>44066.497400066772</v>
      </c>
      <c r="AX16" s="4">
        <f t="shared" si="57"/>
        <v>44507.16237406744</v>
      </c>
      <c r="AY16" s="4">
        <f t="shared" si="57"/>
        <v>44952.233997808115</v>
      </c>
      <c r="AZ16" s="4">
        <f t="shared" ref="AZ16:CE16" si="58">AY16*(1+$V$19)</f>
        <v>45401.756337786195</v>
      </c>
      <c r="BA16" s="4">
        <f t="shared" si="58"/>
        <v>45855.773901164059</v>
      </c>
      <c r="BB16" s="4">
        <f t="shared" si="58"/>
        <v>46314.331640175697</v>
      </c>
      <c r="BC16" s="4">
        <f t="shared" si="58"/>
        <v>46777.474956577455</v>
      </c>
      <c r="BD16" s="4">
        <f t="shared" si="58"/>
        <v>47245.24970614323</v>
      </c>
      <c r="BE16" s="4">
        <f t="shared" si="58"/>
        <v>47717.702203204659</v>
      </c>
      <c r="BF16" s="4">
        <f t="shared" si="58"/>
        <v>48194.879225236706</v>
      </c>
      <c r="BG16" s="4">
        <f t="shared" si="58"/>
        <v>48676.828017489075</v>
      </c>
      <c r="BH16" s="4">
        <f t="shared" si="58"/>
        <v>49163.596297663964</v>
      </c>
      <c r="BI16" s="4">
        <f t="shared" si="58"/>
        <v>49655.232260640601</v>
      </c>
      <c r="BJ16" s="4">
        <f t="shared" si="58"/>
        <v>50151.784583247005</v>
      </c>
      <c r="BK16" s="4">
        <f t="shared" si="58"/>
        <v>50653.302429079478</v>
      </c>
      <c r="BL16" s="4">
        <f t="shared" si="58"/>
        <v>51159.835453370273</v>
      </c>
      <c r="BM16" s="4">
        <f t="shared" si="58"/>
        <v>51671.433807903974</v>
      </c>
      <c r="BN16" s="4">
        <f t="shared" si="58"/>
        <v>52188.14814598301</v>
      </c>
      <c r="BO16" s="4">
        <f t="shared" si="58"/>
        <v>52710.02962744284</v>
      </c>
      <c r="BP16" s="4">
        <f t="shared" si="58"/>
        <v>53237.129923717272</v>
      </c>
      <c r="BQ16" s="4">
        <f t="shared" si="58"/>
        <v>53769.501222954445</v>
      </c>
      <c r="BR16" s="4">
        <f t="shared" si="58"/>
        <v>54307.19623518399</v>
      </c>
      <c r="BS16" s="4">
        <f t="shared" si="58"/>
        <v>54850.268197535828</v>
      </c>
      <c r="BT16" s="4">
        <f t="shared" si="58"/>
        <v>55398.77087951119</v>
      </c>
      <c r="BU16" s="4">
        <f t="shared" si="58"/>
        <v>55952.7585883063</v>
      </c>
      <c r="BV16" s="4">
        <f t="shared" si="58"/>
        <v>56512.286174189365</v>
      </c>
      <c r="BW16" s="4">
        <f t="shared" si="58"/>
        <v>57077.409035931261</v>
      </c>
      <c r="BX16" s="4">
        <f t="shared" si="58"/>
        <v>57648.183126290576</v>
      </c>
      <c r="BY16" s="4">
        <f t="shared" si="58"/>
        <v>58224.664957553483</v>
      </c>
      <c r="BZ16" s="4">
        <f t="shared" si="58"/>
        <v>58806.911607129019</v>
      </c>
      <c r="CA16" s="4">
        <f t="shared" si="58"/>
        <v>59394.980723200308</v>
      </c>
      <c r="CB16" s="4">
        <f t="shared" si="58"/>
        <v>59988.930530432313</v>
      </c>
      <c r="CC16" s="4">
        <f t="shared" si="58"/>
        <v>60588.819835736635</v>
      </c>
      <c r="CD16" s="4">
        <f t="shared" si="58"/>
        <v>61194.708034094001</v>
      </c>
      <c r="CE16" s="4">
        <f t="shared" si="58"/>
        <v>61806.655114434943</v>
      </c>
      <c r="CF16" s="4">
        <f t="shared" ref="CF16:DK16" si="59">CE16*(1+$V$19)</f>
        <v>62424.721665579294</v>
      </c>
      <c r="CG16" s="4">
        <f t="shared" si="59"/>
        <v>63048.968882235087</v>
      </c>
      <c r="CH16" s="4">
        <f t="shared" si="59"/>
        <v>63679.458571057439</v>
      </c>
      <c r="CI16" s="4">
        <f t="shared" si="59"/>
        <v>64316.253156768013</v>
      </c>
      <c r="CJ16" s="4">
        <f t="shared" si="59"/>
        <v>64959.415688335692</v>
      </c>
      <c r="CK16" s="4">
        <f t="shared" si="59"/>
        <v>65609.009845219043</v>
      </c>
      <c r="CL16" s="4">
        <f t="shared" si="59"/>
        <v>66265.09994367123</v>
      </c>
      <c r="CM16" s="4">
        <f t="shared" si="59"/>
        <v>66927.750943107938</v>
      </c>
      <c r="CN16" s="4">
        <f t="shared" si="59"/>
        <v>67597.028452539016</v>
      </c>
      <c r="CO16" s="4">
        <f t="shared" si="59"/>
        <v>68272.998737064408</v>
      </c>
      <c r="CP16" s="4">
        <f t="shared" si="59"/>
        <v>68955.728724435059</v>
      </c>
      <c r="CQ16" s="4">
        <f t="shared" si="59"/>
        <v>69645.286011679404</v>
      </c>
      <c r="CR16" s="4">
        <f t="shared" si="59"/>
        <v>70341.738871796202</v>
      </c>
      <c r="CS16" s="4">
        <f t="shared" si="59"/>
        <v>71045.156260514166</v>
      </c>
      <c r="CT16" s="4">
        <f t="shared" si="59"/>
        <v>71755.60782311931</v>
      </c>
      <c r="CU16" s="4">
        <f t="shared" si="59"/>
        <v>72473.163901350505</v>
      </c>
      <c r="CV16" s="4">
        <f t="shared" si="59"/>
        <v>73197.895540364014</v>
      </c>
      <c r="CW16" s="4">
        <f t="shared" si="59"/>
        <v>73929.874495767654</v>
      </c>
      <c r="CX16" s="4">
        <f t="shared" si="59"/>
        <v>74669.173240725329</v>
      </c>
      <c r="CY16" s="4">
        <f t="shared" si="59"/>
        <v>75415.864973132586</v>
      </c>
      <c r="CZ16" s="4">
        <f t="shared" si="59"/>
        <v>76170.023622863911</v>
      </c>
      <c r="DA16" s="4">
        <f t="shared" si="59"/>
        <v>76931.723859092555</v>
      </c>
      <c r="DB16" s="4">
        <f t="shared" si="59"/>
        <v>77701.041097683483</v>
      </c>
      <c r="DC16" s="4">
        <f t="shared" si="59"/>
        <v>78478.051508660312</v>
      </c>
      <c r="DD16" s="4">
        <f t="shared" si="59"/>
        <v>79262.832023746916</v>
      </c>
      <c r="DE16" s="4">
        <f t="shared" si="59"/>
        <v>80055.460343984392</v>
      </c>
      <c r="DF16" s="4">
        <f t="shared" si="59"/>
        <v>80856.014947424235</v>
      </c>
      <c r="DG16" s="4">
        <f t="shared" si="59"/>
        <v>81664.575096898479</v>
      </c>
      <c r="DH16" s="4">
        <f t="shared" si="59"/>
        <v>82481.220847867458</v>
      </c>
      <c r="DI16" s="4">
        <f t="shared" si="59"/>
        <v>83306.033056346132</v>
      </c>
      <c r="DJ16" s="4">
        <f t="shared" si="59"/>
        <v>84139.09338690959</v>
      </c>
      <c r="DK16" s="4">
        <f t="shared" si="59"/>
        <v>84980.484320778691</v>
      </c>
      <c r="DL16" s="4">
        <f t="shared" ref="DL16:DQ16" si="60">DK16*(1+$V$19)</f>
        <v>85830.289163986483</v>
      </c>
      <c r="DM16" s="4">
        <f t="shared" si="60"/>
        <v>86688.592055626345</v>
      </c>
      <c r="DN16" s="4">
        <f t="shared" si="60"/>
        <v>87555.477976182607</v>
      </c>
      <c r="DO16" s="4">
        <f t="shared" si="60"/>
        <v>88431.032755944427</v>
      </c>
      <c r="DP16" s="4">
        <f t="shared" si="60"/>
        <v>89315.343083503874</v>
      </c>
      <c r="DQ16" s="4">
        <f t="shared" si="60"/>
        <v>90208.496514338913</v>
      </c>
    </row>
    <row r="17" spans="1:22" x14ac:dyDescent="0.2">
      <c r="B17" s="2" t="s">
        <v>27</v>
      </c>
      <c r="C17" s="5">
        <f>C16/C18</f>
        <v>7.077486272117145E-2</v>
      </c>
      <c r="D17" s="5" t="e">
        <f t="shared" ref="D17:H17" si="61">D16/D18</f>
        <v>#DIV/0!</v>
      </c>
      <c r="E17" s="5" t="e">
        <f t="shared" si="61"/>
        <v>#DIV/0!</v>
      </c>
      <c r="F17" s="5" t="e">
        <f t="shared" si="61"/>
        <v>#DIV/0!</v>
      </c>
      <c r="G17" s="5">
        <f t="shared" si="61"/>
        <v>0.43173431734317341</v>
      </c>
      <c r="H17" s="5">
        <f t="shared" si="61"/>
        <v>0</v>
      </c>
      <c r="I17" s="5">
        <f t="shared" ref="I17" si="62">I16/I18</f>
        <v>0</v>
      </c>
      <c r="J17" s="5">
        <f t="shared" ref="J17:M17" si="63">J16/J18</f>
        <v>0</v>
      </c>
      <c r="L17" s="5">
        <f t="shared" si="63"/>
        <v>0.76639083386378104</v>
      </c>
      <c r="M17" s="5">
        <f t="shared" si="63"/>
        <v>0.49476923076923079</v>
      </c>
      <c r="N17" s="5">
        <f t="shared" ref="N17" si="64">N16/N18</f>
        <v>1.06658521686011</v>
      </c>
      <c r="O17" s="5">
        <f t="shared" ref="O17" si="65">O16/O18</f>
        <v>2.8415245922881858</v>
      </c>
      <c r="P17" s="5">
        <f t="shared" ref="P17" si="66">P16/P18</f>
        <v>5.1466663869400593</v>
      </c>
      <c r="Q17" s="5">
        <f t="shared" ref="Q17" si="67">Q16/Q18</f>
        <v>8.5823712073042877</v>
      </c>
      <c r="R17" s="5">
        <f t="shared" ref="R17" si="68">R16/R18</f>
        <v>13.637196203855925</v>
      </c>
      <c r="S17" s="5">
        <f t="shared" ref="S17" si="69">S16/S18</f>
        <v>21.001130148640875</v>
      </c>
    </row>
    <row r="18" spans="1:22" x14ac:dyDescent="0.2">
      <c r="B18" s="2" t="s">
        <v>1</v>
      </c>
      <c r="C18" s="2">
        <v>1639</v>
      </c>
      <c r="G18" s="2">
        <v>1626</v>
      </c>
      <c r="H18" s="2">
        <f>G18*0.998</f>
        <v>1622.748</v>
      </c>
      <c r="I18" s="2">
        <f t="shared" ref="I18:J18" si="70">H18*0.998</f>
        <v>1619.502504</v>
      </c>
      <c r="J18" s="2">
        <f t="shared" si="70"/>
        <v>1616.263498992</v>
      </c>
      <c r="L18" s="2">
        <v>1571</v>
      </c>
      <c r="M18" s="2">
        <v>1625</v>
      </c>
      <c r="N18" s="2">
        <v>1637</v>
      </c>
      <c r="O18" s="2">
        <f>N18*0.99</f>
        <v>1620.6299999999999</v>
      </c>
      <c r="P18" s="2">
        <f t="shared" ref="P18:S18" si="71">O18*0.99</f>
        <v>1604.4236999999998</v>
      </c>
      <c r="Q18" s="2">
        <f t="shared" si="71"/>
        <v>1588.3794629999998</v>
      </c>
      <c r="R18" s="2">
        <f t="shared" si="71"/>
        <v>1572.4956683699997</v>
      </c>
      <c r="S18" s="2">
        <f t="shared" si="71"/>
        <v>1556.7707116862998</v>
      </c>
      <c r="U18" s="2" t="s">
        <v>39</v>
      </c>
      <c r="V18" s="6">
        <v>0.02</v>
      </c>
    </row>
    <row r="19" spans="1:22" x14ac:dyDescent="0.2">
      <c r="U19" s="2" t="s">
        <v>40</v>
      </c>
      <c r="V19" s="6">
        <v>0.01</v>
      </c>
    </row>
    <row r="20" spans="1:22" s="4" customFormat="1" x14ac:dyDescent="0.2">
      <c r="A20" s="2"/>
      <c r="B20" s="4" t="s">
        <v>28</v>
      </c>
      <c r="G20" s="7">
        <f>G2/C2-1</f>
        <v>0.35903526402338759</v>
      </c>
      <c r="M20" s="7">
        <f>M2/L2-1</f>
        <v>-3.9023770179229644E-2</v>
      </c>
      <c r="N20" s="7">
        <f t="shared" ref="N20:S20" si="72">N2/M2-1</f>
        <v>0.13690476190476186</v>
      </c>
      <c r="O20" s="7">
        <f t="shared" si="72"/>
        <v>0.34000000000000008</v>
      </c>
      <c r="P20" s="7">
        <f t="shared" si="72"/>
        <v>0.34000000000000008</v>
      </c>
      <c r="Q20" s="7">
        <f t="shared" si="72"/>
        <v>0.34000000000000008</v>
      </c>
      <c r="R20" s="7">
        <f t="shared" si="72"/>
        <v>0.34000000000000008</v>
      </c>
      <c r="S20" s="7">
        <f t="shared" si="72"/>
        <v>0.34000000000000008</v>
      </c>
      <c r="U20" s="2" t="s">
        <v>41</v>
      </c>
      <c r="V20" s="6">
        <v>9.5000000000000001E-2</v>
      </c>
    </row>
    <row r="21" spans="1:22" x14ac:dyDescent="0.2">
      <c r="B21" s="2" t="s">
        <v>29</v>
      </c>
      <c r="U21" s="4" t="s">
        <v>42</v>
      </c>
      <c r="V21" s="4">
        <f>NPV(V20,O16:XFD16)+Main!M5-Main!M6</f>
        <v>305212.41111484898</v>
      </c>
    </row>
    <row r="22" spans="1:22" x14ac:dyDescent="0.2">
      <c r="U22" s="2" t="s">
        <v>46</v>
      </c>
      <c r="V22" s="2">
        <f>V21/Main!M3</f>
        <v>188.23958193938645</v>
      </c>
    </row>
    <row r="23" spans="1:22" s="4" customFormat="1" x14ac:dyDescent="0.2">
      <c r="A23" s="2"/>
      <c r="B23" s="4" t="s">
        <v>30</v>
      </c>
      <c r="C23" s="7">
        <f t="shared" ref="C23:J23" si="73">C6/C2</f>
        <v>0.46775077653937513</v>
      </c>
      <c r="D23" s="7" t="e">
        <f t="shared" si="73"/>
        <v>#DIV/0!</v>
      </c>
      <c r="E23" s="7" t="e">
        <f t="shared" si="73"/>
        <v>#DIV/0!</v>
      </c>
      <c r="F23" s="7" t="e">
        <f t="shared" si="73"/>
        <v>#DIV/0!</v>
      </c>
      <c r="G23" s="7">
        <f t="shared" si="73"/>
        <v>0.50228556063457919</v>
      </c>
      <c r="H23" s="7" t="e">
        <f t="shared" si="73"/>
        <v>#DIV/0!</v>
      </c>
      <c r="I23" s="7" t="e">
        <f t="shared" si="73"/>
        <v>#DIV/0!</v>
      </c>
      <c r="J23" s="7" t="e">
        <f t="shared" si="73"/>
        <v>#DIV/0!</v>
      </c>
      <c r="L23" s="7">
        <f>L6/L2</f>
        <v>0.4492606245498072</v>
      </c>
      <c r="M23" s="7">
        <f>M6/M2</f>
        <v>0.46119929453262787</v>
      </c>
      <c r="N23" s="7">
        <f>N6/N2</f>
        <v>0.49350397517936784</v>
      </c>
      <c r="O23" s="7">
        <f>N23*1.03</f>
        <v>0.50830909443474892</v>
      </c>
      <c r="P23" s="7">
        <f t="shared" ref="P23:S23" si="74">O23*1.03</f>
        <v>0.52355836726779137</v>
      </c>
      <c r="Q23" s="7">
        <f t="shared" si="74"/>
        <v>0.53926511828582513</v>
      </c>
      <c r="R23" s="7">
        <f t="shared" si="74"/>
        <v>0.55544307183439989</v>
      </c>
      <c r="S23" s="7">
        <f t="shared" si="74"/>
        <v>0.57210636398943193</v>
      </c>
      <c r="U23" s="2"/>
      <c r="V23" s="8">
        <f>V22/Main!M2-1</f>
        <v>0.30721931902351707</v>
      </c>
    </row>
    <row r="24" spans="1:22" x14ac:dyDescent="0.2">
      <c r="B24" s="2" t="s">
        <v>31</v>
      </c>
      <c r="C24" s="8">
        <f t="shared" ref="C24:J24" si="75">C11/C2</f>
        <v>6.5777452950849628E-3</v>
      </c>
      <c r="D24" s="8" t="e">
        <f t="shared" si="75"/>
        <v>#DIV/0!</v>
      </c>
      <c r="E24" s="8" t="e">
        <f t="shared" si="75"/>
        <v>#DIV/0!</v>
      </c>
      <c r="F24" s="8" t="e">
        <f t="shared" si="75"/>
        <v>#DIV/0!</v>
      </c>
      <c r="G24" s="8">
        <f t="shared" si="75"/>
        <v>0.10836246302769562</v>
      </c>
      <c r="H24" s="8" t="e">
        <f t="shared" si="75"/>
        <v>#DIV/0!</v>
      </c>
      <c r="I24" s="8" t="e">
        <f t="shared" si="75"/>
        <v>#DIV/0!</v>
      </c>
      <c r="J24" s="8" t="e">
        <f t="shared" si="75"/>
        <v>#DIV/0!</v>
      </c>
      <c r="L24" s="8">
        <f t="shared" ref="L24:S24" si="76">L11/L2</f>
        <v>4.9235201898224654E-2</v>
      </c>
      <c r="M24" s="8">
        <f t="shared" si="76"/>
        <v>1.6181657848324513E-2</v>
      </c>
      <c r="N24" s="8">
        <f t="shared" si="76"/>
        <v>7.9038200504169084E-2</v>
      </c>
      <c r="O24" s="8">
        <f t="shared" si="76"/>
        <v>0.15880183144776416</v>
      </c>
      <c r="P24" s="8">
        <f t="shared" si="76"/>
        <v>0.2133456580546168</v>
      </c>
      <c r="Q24" s="8">
        <f t="shared" si="76"/>
        <v>0.26305733295059602</v>
      </c>
      <c r="R24" s="8">
        <f t="shared" si="76"/>
        <v>0.30871532905341353</v>
      </c>
      <c r="S24" s="8">
        <f t="shared" si="76"/>
        <v>0.35098064372642757</v>
      </c>
    </row>
    <row r="25" spans="1:22" x14ac:dyDescent="0.2">
      <c r="B25" s="2" t="s">
        <v>43</v>
      </c>
      <c r="C25" s="8"/>
      <c r="D25" s="8"/>
      <c r="E25" s="8"/>
      <c r="F25" s="8"/>
      <c r="G25" s="8"/>
      <c r="H25" s="8"/>
      <c r="I25" s="8"/>
      <c r="J25" s="8"/>
      <c r="L25" s="8"/>
      <c r="M25" s="8">
        <f>M7/L7-1</f>
        <v>0.17322677322677316</v>
      </c>
      <c r="N25" s="8">
        <f>N7/M7-1</f>
        <v>9.9455040871934575E-2</v>
      </c>
      <c r="O25" s="8"/>
      <c r="P25" s="8"/>
      <c r="Q25" s="8"/>
      <c r="R25" s="8"/>
      <c r="S25" s="8"/>
    </row>
    <row r="26" spans="1:22" x14ac:dyDescent="0.2">
      <c r="B26" s="2" t="s">
        <v>44</v>
      </c>
      <c r="C26" s="8"/>
      <c r="D26" s="8"/>
      <c r="E26" s="8"/>
      <c r="F26" s="8"/>
      <c r="G26" s="8"/>
      <c r="H26" s="8"/>
      <c r="I26" s="8"/>
      <c r="J26" s="8"/>
      <c r="L26" s="8"/>
      <c r="M26" s="8">
        <f>M8/L8-1</f>
        <v>6.8493150684931781E-3</v>
      </c>
      <c r="N26" s="8">
        <f>N8/M8-1</f>
        <v>0.18324829931972797</v>
      </c>
      <c r="O26" s="8"/>
      <c r="P26" s="8"/>
      <c r="Q26" s="8"/>
      <c r="R26" s="8"/>
      <c r="S26" s="8"/>
    </row>
    <row r="27" spans="1:22" x14ac:dyDescent="0.2">
      <c r="O27" s="8"/>
    </row>
    <row r="28" spans="1:22" x14ac:dyDescent="0.2">
      <c r="B28" s="2" t="s">
        <v>32</v>
      </c>
      <c r="C28" s="8">
        <f t="shared" ref="C28:J28" si="77">C10/C2</f>
        <v>0.46117303124429015</v>
      </c>
      <c r="D28" s="8" t="e">
        <f t="shared" si="77"/>
        <v>#DIV/0!</v>
      </c>
      <c r="E28" s="8" t="e">
        <f t="shared" si="77"/>
        <v>#DIV/0!</v>
      </c>
      <c r="F28" s="8" t="e">
        <f t="shared" si="77"/>
        <v>#DIV/0!</v>
      </c>
      <c r="G28" s="8">
        <f t="shared" si="77"/>
        <v>0.39392309760688354</v>
      </c>
      <c r="H28" s="8" t="e">
        <f t="shared" si="77"/>
        <v>#DIV/0!</v>
      </c>
      <c r="I28" s="8" t="e">
        <f t="shared" si="77"/>
        <v>#DIV/0!</v>
      </c>
      <c r="J28" s="8" t="e">
        <f t="shared" si="77"/>
        <v>#DIV/0!</v>
      </c>
      <c r="L28" s="8">
        <f>L10/L2</f>
        <v>0.40002542265158259</v>
      </c>
      <c r="M28" s="8">
        <f>M10/M2</f>
        <v>0.44501763668430333</v>
      </c>
      <c r="N28" s="8">
        <f>N10/N2</f>
        <v>0.41446577467519874</v>
      </c>
      <c r="O28" s="8">
        <f t="shared" ref="O28:S28" si="78">O10/O2</f>
        <v>0.31281926608956379</v>
      </c>
      <c r="P28" s="8">
        <f t="shared" si="78"/>
        <v>0.27352471231575359</v>
      </c>
      <c r="Q28" s="8">
        <f t="shared" si="78"/>
        <v>0.23951978843780813</v>
      </c>
      <c r="R28" s="8">
        <f t="shared" si="78"/>
        <v>0.21003974588356536</v>
      </c>
      <c r="S28" s="8">
        <f t="shared" si="78"/>
        <v>0.18443772336558345</v>
      </c>
    </row>
    <row r="30" spans="1:22" x14ac:dyDescent="0.2">
      <c r="B30" s="2" t="s">
        <v>33</v>
      </c>
      <c r="G30" s="2">
        <f>G31-G32</f>
        <v>1344</v>
      </c>
      <c r="H30" s="2">
        <f>G30+H16</f>
        <v>1344</v>
      </c>
      <c r="I30" s="2">
        <f>H30+I16</f>
        <v>1344</v>
      </c>
      <c r="J30" s="2">
        <f>I30+J16</f>
        <v>1344</v>
      </c>
      <c r="N30" s="2">
        <f>N31-N32</f>
        <v>1344</v>
      </c>
      <c r="O30" s="2">
        <f>N30+O16</f>
        <v>5949.0600000000022</v>
      </c>
      <c r="P30" s="2">
        <f>O30+P16</f>
        <v>14206.493527200004</v>
      </c>
      <c r="Q30" s="2">
        <f>P30+Q16</f>
        <v>27838.555696724645</v>
      </c>
      <c r="R30" s="2">
        <f>Q30+R16</f>
        <v>49282.987655999896</v>
      </c>
      <c r="S30" s="2">
        <f>R30+S16</f>
        <v>81976.93198371616</v>
      </c>
    </row>
    <row r="31" spans="1:22" x14ac:dyDescent="0.2">
      <c r="B31" s="2" t="s">
        <v>3</v>
      </c>
      <c r="G31" s="2">
        <f>6049+1261</f>
        <v>7310</v>
      </c>
      <c r="N31" s="2">
        <f>6049+1261</f>
        <v>7310</v>
      </c>
      <c r="T31" s="2" t="s">
        <v>45</v>
      </c>
    </row>
    <row r="32" spans="1:22" x14ac:dyDescent="0.2">
      <c r="B32" s="2" t="s">
        <v>4</v>
      </c>
      <c r="G32" s="2">
        <f>3217+567+343+1839</f>
        <v>5966</v>
      </c>
      <c r="N32" s="2">
        <f>3217+567+343+1839</f>
        <v>5966</v>
      </c>
    </row>
    <row r="34" spans="1:19" x14ac:dyDescent="0.2">
      <c r="B34" s="2" t="s">
        <v>34</v>
      </c>
    </row>
    <row r="35" spans="1:19" x14ac:dyDescent="0.2">
      <c r="B35" s="2" t="s">
        <v>35</v>
      </c>
    </row>
    <row r="36" spans="1:19" s="4" customFormat="1" x14ac:dyDescent="0.2">
      <c r="A36" s="2"/>
      <c r="B36" s="4" t="s">
        <v>36</v>
      </c>
      <c r="C36" s="4">
        <f>C34-C35</f>
        <v>0</v>
      </c>
      <c r="D36" s="4">
        <f t="shared" ref="D36:L36" si="79">D34-D35</f>
        <v>0</v>
      </c>
      <c r="E36" s="4">
        <f t="shared" si="79"/>
        <v>0</v>
      </c>
      <c r="F36" s="4">
        <f t="shared" si="79"/>
        <v>0</v>
      </c>
      <c r="G36" s="4">
        <f t="shared" si="79"/>
        <v>0</v>
      </c>
      <c r="H36" s="4">
        <f t="shared" si="79"/>
        <v>0</v>
      </c>
      <c r="I36" s="4">
        <f t="shared" si="79"/>
        <v>0</v>
      </c>
      <c r="J36" s="4">
        <f t="shared" si="79"/>
        <v>0</v>
      </c>
      <c r="L36" s="4">
        <f t="shared" si="79"/>
        <v>0</v>
      </c>
      <c r="M36" s="4">
        <f t="shared" ref="M36" si="80">M34-M35</f>
        <v>0</v>
      </c>
      <c r="N36" s="4">
        <f t="shared" ref="N36" si="81">N34-N35</f>
        <v>0</v>
      </c>
      <c r="O36" s="4">
        <f t="shared" ref="O36" si="82">O34-O35</f>
        <v>0</v>
      </c>
      <c r="P36" s="4">
        <f t="shared" ref="P36" si="83">P34-P35</f>
        <v>0</v>
      </c>
      <c r="Q36" s="4">
        <f t="shared" ref="Q36" si="84">Q34-Q35</f>
        <v>0</v>
      </c>
      <c r="R36" s="4">
        <f t="shared" ref="R36" si="85">R34-R35</f>
        <v>0</v>
      </c>
      <c r="S36" s="4">
        <f t="shared" ref="S36" si="86">S34-S35</f>
        <v>0</v>
      </c>
    </row>
  </sheetData>
  <hyperlinks>
    <hyperlink ref="A1" location="Main!A1" display="Main" xr:uid="{6C6E6DC2-BB6C-4E22-8817-0325556578AD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2025-05-25T05:31:05Z</dcterms:created>
  <dcterms:modified xsi:type="dcterms:W3CDTF">2025-06-26T02:32:42Z</dcterms:modified>
</cp:coreProperties>
</file>