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39D24F96-2C8E-4254-9DAA-71E53644749C}" xr6:coauthVersionLast="47" xr6:coauthVersionMax="47" xr10:uidLastSave="{00000000-0000-0000-0000-000000000000}"/>
  <bookViews>
    <workbookView xWindow="2115" yWindow="1260" windowWidth="21945" windowHeight="13935" activeTab="1" xr2:uid="{A1786BA7-8D1F-4C4D-BD53-DD4D812117A2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J3" i="1"/>
  <c r="J4" i="1"/>
  <c r="J5" i="1" s="1"/>
  <c r="C10" i="1"/>
  <c r="G10" i="1"/>
  <c r="M43" i="1"/>
  <c r="N43" i="1"/>
  <c r="O43" i="1"/>
  <c r="P43" i="1"/>
  <c r="Q43" i="1"/>
  <c r="R43" i="1"/>
  <c r="S43" i="1"/>
  <c r="T43" i="1"/>
  <c r="L43" i="1"/>
  <c r="J43" i="1"/>
  <c r="I43" i="1"/>
  <c r="H43" i="1"/>
  <c r="G43" i="1"/>
  <c r="F43" i="1"/>
  <c r="E43" i="1"/>
  <c r="C43" i="1"/>
  <c r="D43" i="1"/>
  <c r="I14" i="1"/>
  <c r="J14" i="1" s="1"/>
  <c r="O14" i="1" s="1"/>
  <c r="P14" i="1" s="1"/>
  <c r="Q14" i="1" s="1"/>
  <c r="R14" i="1" s="1"/>
  <c r="S14" i="1" s="1"/>
  <c r="T14" i="1" s="1"/>
  <c r="N34" i="1"/>
  <c r="N39" i="1" s="1"/>
  <c r="M34" i="1"/>
  <c r="N30" i="1"/>
  <c r="M30" i="1"/>
  <c r="M21" i="1"/>
  <c r="M31" i="1" s="1"/>
  <c r="N21" i="1"/>
  <c r="N31" i="1" s="1"/>
  <c r="N10" i="1"/>
  <c r="M10" i="1"/>
  <c r="L10" i="1"/>
  <c r="M48" i="1"/>
  <c r="N48" i="1"/>
  <c r="O48" i="1"/>
  <c r="P48" i="1"/>
  <c r="Q48" i="1"/>
  <c r="R48" i="1"/>
  <c r="S48" i="1"/>
  <c r="T48" i="1"/>
  <c r="L48" i="1"/>
  <c r="J48" i="1"/>
  <c r="I48" i="1"/>
  <c r="G48" i="1"/>
  <c r="H48" i="1"/>
  <c r="C48" i="1"/>
  <c r="F48" i="1"/>
  <c r="E48" i="1"/>
  <c r="D48" i="1"/>
  <c r="M17" i="1"/>
  <c r="N17" i="1"/>
  <c r="L17" i="1"/>
  <c r="L20" i="1"/>
  <c r="E20" i="1"/>
  <c r="F20" i="1"/>
  <c r="G20" i="1"/>
  <c r="C20" i="1"/>
  <c r="D34" i="1"/>
  <c r="D39" i="1" s="1"/>
  <c r="M39" i="1"/>
  <c r="O39" i="1"/>
  <c r="P39" i="1"/>
  <c r="Q39" i="1"/>
  <c r="R39" i="1"/>
  <c r="S39" i="1"/>
  <c r="T39" i="1"/>
  <c r="L39" i="1"/>
  <c r="J39" i="1"/>
  <c r="I39" i="1"/>
  <c r="E39" i="1"/>
  <c r="F39" i="1"/>
  <c r="G39" i="1"/>
  <c r="C39" i="1"/>
  <c r="H34" i="1"/>
  <c r="H39" i="1" s="1"/>
  <c r="D30" i="1"/>
  <c r="H30" i="1"/>
  <c r="O31" i="1"/>
  <c r="O40" i="1" s="1"/>
  <c r="O41" i="1" s="1"/>
  <c r="P31" i="1"/>
  <c r="Q31" i="1"/>
  <c r="R31" i="1"/>
  <c r="R40" i="1" s="1"/>
  <c r="R41" i="1" s="1"/>
  <c r="S31" i="1"/>
  <c r="T31" i="1"/>
  <c r="L31" i="1"/>
  <c r="L40" i="1" s="1"/>
  <c r="L41" i="1" s="1"/>
  <c r="J31" i="1"/>
  <c r="J40" i="1" s="1"/>
  <c r="J41" i="1" s="1"/>
  <c r="I31" i="1"/>
  <c r="G31" i="1"/>
  <c r="F31" i="1"/>
  <c r="E31" i="1"/>
  <c r="C31" i="1"/>
  <c r="D21" i="1"/>
  <c r="D20" i="1" s="1"/>
  <c r="H21" i="1"/>
  <c r="H20" i="1" s="1"/>
  <c r="O6" i="1"/>
  <c r="P6" i="1" s="1"/>
  <c r="O7" i="1"/>
  <c r="P7" i="1" s="1"/>
  <c r="Q7" i="1" s="1"/>
  <c r="R7" i="1" s="1"/>
  <c r="S7" i="1" s="1"/>
  <c r="T7" i="1" s="1"/>
  <c r="O3" i="1"/>
  <c r="P3" i="1" s="1"/>
  <c r="Q3" i="1" s="1"/>
  <c r="R3" i="1" s="1"/>
  <c r="S3" i="1" s="1"/>
  <c r="I17" i="1"/>
  <c r="G17" i="1"/>
  <c r="D10" i="1"/>
  <c r="H17" i="1"/>
  <c r="M5" i="1"/>
  <c r="M18" i="1" s="1"/>
  <c r="N5" i="1"/>
  <c r="N18" i="1" s="1"/>
  <c r="M8" i="1"/>
  <c r="N8" i="1"/>
  <c r="L8" i="1"/>
  <c r="L5" i="1"/>
  <c r="J8" i="1"/>
  <c r="I8" i="1"/>
  <c r="C8" i="1"/>
  <c r="C5" i="1"/>
  <c r="F5" i="1"/>
  <c r="F18" i="1" s="1"/>
  <c r="G5" i="1"/>
  <c r="G18" i="1" s="1"/>
  <c r="F8" i="1"/>
  <c r="G8" i="1"/>
  <c r="E5" i="1"/>
  <c r="E8" i="1"/>
  <c r="D5" i="1"/>
  <c r="D18" i="1" s="1"/>
  <c r="D8" i="1"/>
  <c r="H10" i="1"/>
  <c r="H8" i="1"/>
  <c r="H5" i="1"/>
  <c r="M2" i="1"/>
  <c r="N2" i="1" s="1"/>
  <c r="O2" i="1" s="1"/>
  <c r="P2" i="1" s="1"/>
  <c r="Q2" i="1" s="1"/>
  <c r="R2" i="1" s="1"/>
  <c r="S2" i="1" s="1"/>
  <c r="T2" i="1" s="1"/>
  <c r="N6" i="2"/>
  <c r="N5" i="2"/>
  <c r="N7" i="2"/>
  <c r="N4" i="2"/>
  <c r="N3" i="2"/>
  <c r="J17" i="1" l="1"/>
  <c r="P40" i="1"/>
  <c r="P41" i="1" s="1"/>
  <c r="Q40" i="1"/>
  <c r="Q41" i="1" s="1"/>
  <c r="S40" i="1"/>
  <c r="S41" i="1" s="1"/>
  <c r="T40" i="1"/>
  <c r="C40" i="1"/>
  <c r="C41" i="1" s="1"/>
  <c r="H31" i="1"/>
  <c r="H40" i="1" s="1"/>
  <c r="F40" i="1"/>
  <c r="I40" i="1"/>
  <c r="I41" i="1" s="1"/>
  <c r="N20" i="1"/>
  <c r="M20" i="1"/>
  <c r="O17" i="1"/>
  <c r="E40" i="1"/>
  <c r="G40" i="1"/>
  <c r="G41" i="1" s="1"/>
  <c r="E41" i="1"/>
  <c r="H41" i="1"/>
  <c r="P8" i="1"/>
  <c r="Q6" i="1"/>
  <c r="R6" i="1" s="1"/>
  <c r="S6" i="1" s="1"/>
  <c r="T6" i="1" s="1"/>
  <c r="P17" i="1"/>
  <c r="P4" i="1"/>
  <c r="P5" i="1" s="1"/>
  <c r="T41" i="1"/>
  <c r="I10" i="1"/>
  <c r="F41" i="1"/>
  <c r="D31" i="1"/>
  <c r="D40" i="1" s="1"/>
  <c r="D41" i="1" s="1"/>
  <c r="G9" i="1"/>
  <c r="G11" i="1" s="1"/>
  <c r="G13" i="1" s="1"/>
  <c r="G15" i="1" s="1"/>
  <c r="N40" i="1"/>
  <c r="N41" i="1" s="1"/>
  <c r="M40" i="1"/>
  <c r="M41" i="1" s="1"/>
  <c r="E9" i="1"/>
  <c r="E11" i="1" s="1"/>
  <c r="E13" i="1" s="1"/>
  <c r="E15" i="1" s="1"/>
  <c r="E18" i="1"/>
  <c r="C9" i="1"/>
  <c r="C11" i="1" s="1"/>
  <c r="C13" i="1" s="1"/>
  <c r="C15" i="1" s="1"/>
  <c r="H9" i="1"/>
  <c r="H11" i="1" s="1"/>
  <c r="H13" i="1" s="1"/>
  <c r="H15" i="1" s="1"/>
  <c r="O8" i="1"/>
  <c r="D9" i="1"/>
  <c r="D11" i="1" s="1"/>
  <c r="D13" i="1" s="1"/>
  <c r="D15" i="1" s="1"/>
  <c r="L9" i="1"/>
  <c r="L11" i="1" s="1"/>
  <c r="L13" i="1" s="1"/>
  <c r="L15" i="1" s="1"/>
  <c r="H18" i="1"/>
  <c r="F9" i="1"/>
  <c r="F11" i="1" s="1"/>
  <c r="F13" i="1" s="1"/>
  <c r="F15" i="1" s="1"/>
  <c r="N9" i="1"/>
  <c r="N11" i="1" s="1"/>
  <c r="N13" i="1" s="1"/>
  <c r="N15" i="1" s="1"/>
  <c r="M9" i="1"/>
  <c r="M11" i="1" s="1"/>
  <c r="M13" i="1" s="1"/>
  <c r="M15" i="1" s="1"/>
  <c r="C18" i="1"/>
  <c r="L18" i="1"/>
  <c r="J9" i="1"/>
  <c r="P9" i="1" l="1"/>
  <c r="Q8" i="1"/>
  <c r="Q17" i="1"/>
  <c r="Q4" i="1"/>
  <c r="Q5" i="1" s="1"/>
  <c r="Q9" i="1" s="1"/>
  <c r="R8" i="1"/>
  <c r="R17" i="1" l="1"/>
  <c r="R4" i="1"/>
  <c r="R5" i="1" s="1"/>
  <c r="R9" i="1" s="1"/>
  <c r="S8" i="1"/>
  <c r="T8" i="1"/>
  <c r="S17" i="1" l="1"/>
  <c r="S4" i="1"/>
  <c r="S5" i="1" s="1"/>
  <c r="S9" i="1" s="1"/>
  <c r="T17" i="1" l="1"/>
  <c r="T4" i="1"/>
  <c r="T5" i="1" s="1"/>
  <c r="T9" i="1" s="1"/>
  <c r="I4" i="1"/>
  <c r="I5" i="1" s="1"/>
  <c r="I9" i="1" s="1"/>
  <c r="I11" i="1" s="1"/>
  <c r="O4" i="1"/>
  <c r="O5" i="1" s="1"/>
  <c r="O9" i="1" l="1"/>
  <c r="O18" i="1"/>
  <c r="I12" i="1"/>
  <c r="I13" i="1"/>
  <c r="I20" i="1" l="1"/>
  <c r="I15" i="1"/>
  <c r="J10" i="1" l="1"/>
  <c r="J11" i="1" l="1"/>
  <c r="O10" i="1"/>
  <c r="O11" i="1" s="1"/>
  <c r="J12" i="1" l="1"/>
  <c r="O12" i="1" s="1"/>
  <c r="O13" i="1" s="1"/>
  <c r="O15" i="1" l="1"/>
  <c r="J13" i="1"/>
  <c r="J15" i="1" l="1"/>
  <c r="J20" i="1"/>
  <c r="O20" i="1" s="1"/>
  <c r="P10" i="1" l="1"/>
  <c r="P11" i="1" s="1"/>
  <c r="P12" i="1" l="1"/>
  <c r="P13" i="1"/>
  <c r="P15" i="1" l="1"/>
  <c r="P20" i="1"/>
  <c r="Q10" i="1" l="1"/>
  <c r="Q11" i="1" s="1"/>
  <c r="Q12" i="1" l="1"/>
  <c r="Q13" i="1"/>
  <c r="Q15" i="1" l="1"/>
  <c r="Q20" i="1"/>
  <c r="R10" i="1" l="1"/>
  <c r="R11" i="1" s="1"/>
  <c r="R12" i="1" l="1"/>
  <c r="R13" i="1"/>
  <c r="R15" i="1" l="1"/>
  <c r="R20" i="1"/>
  <c r="S10" i="1" l="1"/>
  <c r="S11" i="1" s="1"/>
  <c r="S12" i="1" l="1"/>
  <c r="S13" i="1" s="1"/>
  <c r="S15" i="1" l="1"/>
  <c r="S20" i="1"/>
  <c r="T10" i="1" l="1"/>
  <c r="T11" i="1" s="1"/>
  <c r="T12" i="1" l="1"/>
  <c r="T13" i="1"/>
  <c r="U13" i="1" l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T15" i="1"/>
  <c r="T20" i="1"/>
  <c r="W19" i="1" l="1"/>
  <c r="W20" i="1" s="1"/>
  <c r="W21" i="1" s="1"/>
</calcChain>
</file>

<file path=xl/sharedStrings.xml><?xml version="1.0" encoding="utf-8"?>
<sst xmlns="http://schemas.openxmlformats.org/spreadsheetml/2006/main" count="64" uniqueCount="57">
  <si>
    <t>Price</t>
  </si>
  <si>
    <t>Shares</t>
  </si>
  <si>
    <t>MC</t>
  </si>
  <si>
    <t>Cash</t>
  </si>
  <si>
    <t>Debt</t>
  </si>
  <si>
    <t>EV</t>
  </si>
  <si>
    <t>Q225</t>
  </si>
  <si>
    <t>Main</t>
  </si>
  <si>
    <t>Revenue</t>
  </si>
  <si>
    <t>Q124</t>
  </si>
  <si>
    <t>Q224</t>
  </si>
  <si>
    <t>Q324</t>
  </si>
  <si>
    <t>Q424</t>
  </si>
  <si>
    <t>Q125</t>
  </si>
  <si>
    <t>Q325</t>
  </si>
  <si>
    <t>Q425</t>
  </si>
  <si>
    <t>COGS</t>
  </si>
  <si>
    <t>Gross Profit</t>
  </si>
  <si>
    <t>R&amp;D</t>
  </si>
  <si>
    <t>SG&amp;A</t>
  </si>
  <si>
    <t>Operating Expenses</t>
  </si>
  <si>
    <t>Operating Income</t>
  </si>
  <si>
    <t>Interest Income</t>
  </si>
  <si>
    <t>Pretax Income</t>
  </si>
  <si>
    <t>Tax</t>
  </si>
  <si>
    <t>Net Income</t>
  </si>
  <si>
    <t>EPS</t>
  </si>
  <si>
    <t>Revenue y/y</t>
  </si>
  <si>
    <t>Net Cash</t>
  </si>
  <si>
    <t>AR</t>
  </si>
  <si>
    <t>AP</t>
  </si>
  <si>
    <t>CFFO</t>
  </si>
  <si>
    <t>CX</t>
  </si>
  <si>
    <t>FCF</t>
  </si>
  <si>
    <t>Inventories</t>
  </si>
  <si>
    <t>Investments</t>
  </si>
  <si>
    <t>PP&amp;E</t>
  </si>
  <si>
    <t>OLL</t>
  </si>
  <si>
    <t>OL Assets</t>
  </si>
  <si>
    <t>Intangible Assets</t>
  </si>
  <si>
    <t>DT Assets</t>
  </si>
  <si>
    <t>GW</t>
  </si>
  <si>
    <t>Other Assets</t>
  </si>
  <si>
    <t>Assets</t>
  </si>
  <si>
    <t>Current Liabilities</t>
  </si>
  <si>
    <t>Unearned Government Incentives</t>
  </si>
  <si>
    <t>Other Liabilities</t>
  </si>
  <si>
    <t>Liabilties</t>
  </si>
  <si>
    <t>SE</t>
  </si>
  <si>
    <t>L+SE</t>
  </si>
  <si>
    <t>ROIC</t>
  </si>
  <si>
    <t>Maturity</t>
  </si>
  <si>
    <t>Discount</t>
  </si>
  <si>
    <t>NPV</t>
  </si>
  <si>
    <t>Share</t>
  </si>
  <si>
    <t>Tangible Book</t>
  </si>
  <si>
    <t>DSO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</si>
</sst>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3" fontId="0" fillId="0" borderId="0" xfId="0" applyNumberFormat="1"/>
    <xf numFmtId="14" fontId="0" fillId="0" borderId="0" xfId="0" applyNumberForma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9" fontId="0" fillId="0" borderId="0" xfId="0" applyNumberForma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600807</xdr:colOff>
      <xdr:row>0</xdr:row>
      <xdr:rowOff>131885</xdr:rowOff>
    </xdr:from>
    <xdr:to>
      <xdr:col>8</xdr:col>
      <xdr:colOff>0</xdr:colOff>
      <xdr:row>77</xdr:row>
      <xdr:rowOff>58615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1E9C777-9E01-F3AF-FE87-9B23A32A2388}"/>
            </a:ext>
          </a:extLst>
        </xdr:cNvPr>
        <xdr:cNvCxnSpPr/>
      </xdr:nvCxnSpPr>
      <xdr:spPr>
        <a:xfrm>
          <a:off x="4542692" y="131885"/>
          <a:ext cx="7327" cy="927588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7326</xdr:colOff>
      <xdr:row>0</xdr:row>
      <xdr:rowOff>131885</xdr:rowOff>
    </xdr:from>
    <xdr:to>
      <xdr:col>14</xdr:col>
      <xdr:colOff>14653</xdr:colOff>
      <xdr:row>77</xdr:row>
      <xdr:rowOff>58615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4E8907E-9375-4174-A9A8-93D1FD72CBEE}"/>
            </a:ext>
          </a:extLst>
        </xdr:cNvPr>
        <xdr:cNvCxnSpPr/>
      </xdr:nvCxnSpPr>
      <xdr:spPr>
        <a:xfrm>
          <a:off x="8206153" y="131885"/>
          <a:ext cx="7327" cy="927588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BEDC2-9290-4C55-92A0-146A59000640}">
  <dimension ref="M2:O7"/>
  <sheetViews>
    <sheetView topLeftCell="G1" zoomScale="115" zoomScaleNormal="115" workbookViewId="0">
      <selection activeCell="N6" sqref="N6"/>
    </sheetView>
  </sheetViews>
  <sheetFormatPr defaultRowHeight="12.75" x14ac:dyDescent="0.2"/>
  <sheetData>
    <row r="2" spans="13:15" x14ac:dyDescent="0.2">
      <c r="M2" t="s">
        <v>0</v>
      </c>
      <c r="N2" s="1">
        <v>128</v>
      </c>
    </row>
    <row r="3" spans="13:15" x14ac:dyDescent="0.2">
      <c r="M3" t="s">
        <v>1</v>
      </c>
      <c r="N3" s="2">
        <f>1117.6</f>
        <v>1117.5999999999999</v>
      </c>
      <c r="O3" t="s">
        <v>6</v>
      </c>
    </row>
    <row r="4" spans="13:15" x14ac:dyDescent="0.2">
      <c r="M4" t="s">
        <v>2</v>
      </c>
      <c r="N4" s="2">
        <f>N3*N2</f>
        <v>143052.79999999999</v>
      </c>
    </row>
    <row r="5" spans="13:15" x14ac:dyDescent="0.2">
      <c r="M5" t="s">
        <v>3</v>
      </c>
      <c r="N5" s="2">
        <f>7552+663</f>
        <v>8215</v>
      </c>
      <c r="O5" t="s">
        <v>6</v>
      </c>
    </row>
    <row r="6" spans="13:15" x14ac:dyDescent="0.2">
      <c r="M6" t="s">
        <v>4</v>
      </c>
      <c r="N6" s="2">
        <f>13851+599+836+1257</f>
        <v>16543</v>
      </c>
      <c r="O6" t="s">
        <v>6</v>
      </c>
    </row>
    <row r="7" spans="13:15" x14ac:dyDescent="0.2">
      <c r="M7" t="s">
        <v>5</v>
      </c>
      <c r="N7" s="2">
        <f>N4+N6-N5</f>
        <v>151380.79999999999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5327A-F736-4BE3-88B4-C6BF20EBEDE8}">
  <dimension ref="A1:DP48"/>
  <sheetViews>
    <sheetView tabSelected="1" zoomScale="130" zoomScaleNormal="130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S2" sqref="S2"/>
    </sheetView>
  </sheetViews>
  <sheetFormatPr defaultRowHeight="12.75" x14ac:dyDescent="0.2"/>
  <cols>
    <col min="1" max="1" width="4.42578125" style="2" customWidth="1"/>
    <col min="2" max="2" width="27.28515625" style="2" customWidth="1"/>
    <col min="3" max="16384" width="9.140625" style="2"/>
  </cols>
  <sheetData>
    <row r="1" spans="1:120" x14ac:dyDescent="0.2">
      <c r="A1" s="4" t="s">
        <v>7</v>
      </c>
      <c r="D1" s="3">
        <v>45351</v>
      </c>
      <c r="E1" s="3"/>
      <c r="F1" s="3"/>
      <c r="G1" s="3"/>
      <c r="H1" s="3">
        <v>45715</v>
      </c>
      <c r="I1" s="3">
        <v>45833</v>
      </c>
    </row>
    <row r="2" spans="1:120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6</v>
      </c>
      <c r="I2" s="2" t="s">
        <v>14</v>
      </c>
      <c r="J2" s="2" t="s">
        <v>15</v>
      </c>
      <c r="L2" s="6">
        <v>2022</v>
      </c>
      <c r="M2" s="6">
        <f>L2+1</f>
        <v>2023</v>
      </c>
      <c r="N2" s="6">
        <f t="shared" ref="N2:T2" si="0">M2+1</f>
        <v>2024</v>
      </c>
      <c r="O2" s="6">
        <f t="shared" si="0"/>
        <v>2025</v>
      </c>
      <c r="P2" s="6">
        <f t="shared" si="0"/>
        <v>2026</v>
      </c>
      <c r="Q2" s="6">
        <f t="shared" si="0"/>
        <v>2027</v>
      </c>
      <c r="R2" s="6">
        <f t="shared" si="0"/>
        <v>2028</v>
      </c>
      <c r="S2" s="6">
        <f t="shared" si="0"/>
        <v>2029</v>
      </c>
      <c r="T2" s="6">
        <f t="shared" si="0"/>
        <v>2030</v>
      </c>
    </row>
    <row r="3" spans="1:120" s="5" customFormat="1" x14ac:dyDescent="0.2">
      <c r="A3" s="2"/>
      <c r="B3" s="5" t="s">
        <v>8</v>
      </c>
      <c r="C3" s="5">
        <v>4726</v>
      </c>
      <c r="D3" s="5">
        <v>5824</v>
      </c>
      <c r="F3" s="8"/>
      <c r="G3" s="5">
        <v>8709</v>
      </c>
      <c r="H3" s="5">
        <v>8053</v>
      </c>
      <c r="I3" s="5">
        <v>8800</v>
      </c>
      <c r="J3" s="5">
        <f>I3*1.05</f>
        <v>9240</v>
      </c>
      <c r="L3" s="5">
        <v>30758</v>
      </c>
      <c r="M3" s="5">
        <v>15540</v>
      </c>
      <c r="N3" s="5">
        <v>25111</v>
      </c>
      <c r="O3" s="5">
        <f>SUM(G3:J3)</f>
        <v>34802</v>
      </c>
      <c r="P3" s="5">
        <f>O3*1.1</f>
        <v>38282.200000000004</v>
      </c>
      <c r="Q3" s="5">
        <f t="shared" ref="Q3:T3" si="1">P3*1.1</f>
        <v>42110.420000000006</v>
      </c>
      <c r="R3" s="5">
        <f t="shared" si="1"/>
        <v>46321.462000000007</v>
      </c>
      <c r="S3" s="5">
        <f t="shared" si="1"/>
        <v>50953.60820000001</v>
      </c>
      <c r="T3" s="5">
        <f t="shared" si="1"/>
        <v>56048.969020000019</v>
      </c>
    </row>
    <row r="4" spans="1:120" x14ac:dyDescent="0.2">
      <c r="B4" s="2" t="s">
        <v>16</v>
      </c>
      <c r="C4" s="2">
        <v>4761</v>
      </c>
      <c r="D4" s="2">
        <v>4745</v>
      </c>
      <c r="G4" s="2">
        <v>5361</v>
      </c>
      <c r="H4" s="2">
        <v>5090</v>
      </c>
      <c r="I4" s="2">
        <f>I3*(1-I18)</f>
        <v>5456</v>
      </c>
      <c r="J4" s="2">
        <f>J3*(1-J18)</f>
        <v>5728.8</v>
      </c>
      <c r="L4" s="2">
        <v>16860</v>
      </c>
      <c r="M4" s="2">
        <v>16956</v>
      </c>
      <c r="N4" s="2">
        <v>19498</v>
      </c>
      <c r="O4" s="2">
        <f>SUM(G4:J4)</f>
        <v>21635.8</v>
      </c>
      <c r="P4" s="2">
        <f>P3*(1-P18)</f>
        <v>21055.210000000003</v>
      </c>
      <c r="Q4" s="2">
        <f t="shared" ref="Q4:T4" si="2">Q3*(1-Q18)</f>
        <v>23160.731000000003</v>
      </c>
      <c r="R4" s="2">
        <f t="shared" si="2"/>
        <v>25476.804100000005</v>
      </c>
      <c r="S4" s="2">
        <f t="shared" si="2"/>
        <v>28024.484510000009</v>
      </c>
      <c r="T4" s="2">
        <f t="shared" si="2"/>
        <v>30826.932961000013</v>
      </c>
    </row>
    <row r="5" spans="1:120" x14ac:dyDescent="0.2">
      <c r="B5" s="2" t="s">
        <v>17</v>
      </c>
      <c r="C5" s="2">
        <f>C3-C4</f>
        <v>-35</v>
      </c>
      <c r="D5" s="2">
        <f>D3-D4</f>
        <v>1079</v>
      </c>
      <c r="E5" s="2">
        <f>E3-E4</f>
        <v>0</v>
      </c>
      <c r="F5" s="2">
        <f t="shared" ref="F5:G5" si="3">F3-F4</f>
        <v>0</v>
      </c>
      <c r="G5" s="2">
        <f t="shared" si="3"/>
        <v>3348</v>
      </c>
      <c r="H5" s="2">
        <f>H3-H4</f>
        <v>2963</v>
      </c>
      <c r="I5" s="2">
        <f>I3-I4</f>
        <v>3344</v>
      </c>
      <c r="J5" s="2">
        <f>J3-J4</f>
        <v>3511.2</v>
      </c>
      <c r="L5" s="2">
        <f>L3-L4</f>
        <v>13898</v>
      </c>
      <c r="M5" s="2">
        <f t="shared" ref="M5:T5" si="4">M3-M4</f>
        <v>-1416</v>
      </c>
      <c r="N5" s="2">
        <f t="shared" si="4"/>
        <v>5613</v>
      </c>
      <c r="O5" s="2">
        <f t="shared" si="4"/>
        <v>13166.2</v>
      </c>
      <c r="P5" s="2">
        <f t="shared" si="4"/>
        <v>17226.990000000002</v>
      </c>
      <c r="Q5" s="2">
        <f t="shared" si="4"/>
        <v>18949.689000000002</v>
      </c>
      <c r="R5" s="2">
        <f t="shared" si="4"/>
        <v>20844.657900000002</v>
      </c>
      <c r="S5" s="2">
        <f t="shared" si="4"/>
        <v>22929.12369</v>
      </c>
      <c r="T5" s="2">
        <f t="shared" si="4"/>
        <v>25222.036059000005</v>
      </c>
    </row>
    <row r="6" spans="1:120" x14ac:dyDescent="0.2">
      <c r="B6" s="2" t="s">
        <v>18</v>
      </c>
      <c r="C6" s="2">
        <v>845</v>
      </c>
      <c r="D6" s="2">
        <v>832</v>
      </c>
      <c r="F6" s="7"/>
      <c r="G6" s="2">
        <v>888</v>
      </c>
      <c r="H6" s="2">
        <v>898</v>
      </c>
      <c r="I6" s="2">
        <v>898</v>
      </c>
      <c r="J6" s="2">
        <v>898</v>
      </c>
      <c r="L6" s="2">
        <v>3340</v>
      </c>
      <c r="M6" s="2">
        <v>3114</v>
      </c>
      <c r="N6" s="2">
        <v>3116</v>
      </c>
      <c r="O6" s="2">
        <f>SUM(G6:J6)</f>
        <v>3582</v>
      </c>
      <c r="P6" s="2">
        <f>O6*1.06</f>
        <v>3796.92</v>
      </c>
      <c r="Q6" s="2">
        <f t="shared" ref="Q6:T6" si="5">P6*1.06</f>
        <v>4024.7352000000001</v>
      </c>
      <c r="R6" s="2">
        <f t="shared" si="5"/>
        <v>4266.2193120000002</v>
      </c>
      <c r="S6" s="2">
        <f t="shared" si="5"/>
        <v>4522.1924707200005</v>
      </c>
      <c r="T6" s="2">
        <f t="shared" si="5"/>
        <v>4793.5240189632004</v>
      </c>
    </row>
    <row r="7" spans="1:120" x14ac:dyDescent="0.2">
      <c r="B7" s="2" t="s">
        <v>19</v>
      </c>
      <c r="C7" s="2">
        <v>263</v>
      </c>
      <c r="D7" s="2">
        <v>280</v>
      </c>
      <c r="G7" s="2">
        <v>288</v>
      </c>
      <c r="H7" s="2">
        <v>285</v>
      </c>
      <c r="I7" s="2">
        <v>285</v>
      </c>
      <c r="J7" s="2">
        <v>285</v>
      </c>
      <c r="L7" s="2">
        <v>1129</v>
      </c>
      <c r="M7" s="2">
        <v>920</v>
      </c>
      <c r="N7" s="2">
        <v>1066</v>
      </c>
      <c r="O7" s="2">
        <f>SUM(G7:J7)</f>
        <v>1143</v>
      </c>
      <c r="P7" s="2">
        <f>O7*1.02</f>
        <v>1165.8600000000001</v>
      </c>
      <c r="Q7" s="2">
        <f t="shared" ref="Q7:T7" si="6">P7*1.02</f>
        <v>1189.1772000000001</v>
      </c>
      <c r="R7" s="2">
        <f t="shared" si="6"/>
        <v>1212.9607440000002</v>
      </c>
      <c r="S7" s="2">
        <f t="shared" si="6"/>
        <v>1237.2199588800001</v>
      </c>
      <c r="T7" s="2">
        <f t="shared" si="6"/>
        <v>1261.9643580576001</v>
      </c>
    </row>
    <row r="8" spans="1:120" x14ac:dyDescent="0.2">
      <c r="B8" s="2" t="s">
        <v>20</v>
      </c>
      <c r="C8" s="2">
        <f>SUM(C6:C7)</f>
        <v>1108</v>
      </c>
      <c r="D8" s="2">
        <f>SUM(D6:D7)</f>
        <v>1112</v>
      </c>
      <c r="E8" s="2">
        <f>SUM(E6:E7)</f>
        <v>0</v>
      </c>
      <c r="F8" s="2">
        <f t="shared" ref="F8:G8" si="7">SUM(F6:F7)</f>
        <v>0</v>
      </c>
      <c r="G8" s="2">
        <f t="shared" si="7"/>
        <v>1176</v>
      </c>
      <c r="H8" s="2">
        <f>SUM(H6:H7)</f>
        <v>1183</v>
      </c>
      <c r="I8" s="2">
        <f>SUM(I6:I7)</f>
        <v>1183</v>
      </c>
      <c r="J8" s="2">
        <f>SUM(J6:J7)</f>
        <v>1183</v>
      </c>
      <c r="L8" s="2">
        <f>SUM(L6:L7)</f>
        <v>4469</v>
      </c>
      <c r="M8" s="2">
        <f t="shared" ref="M8:T8" si="8">SUM(M6:M7)</f>
        <v>4034</v>
      </c>
      <c r="N8" s="2">
        <f t="shared" si="8"/>
        <v>4182</v>
      </c>
      <c r="O8" s="2">
        <f t="shared" si="8"/>
        <v>4725</v>
      </c>
      <c r="P8" s="2">
        <f t="shared" si="8"/>
        <v>4962.7800000000007</v>
      </c>
      <c r="Q8" s="2">
        <f t="shared" si="8"/>
        <v>5213.9124000000002</v>
      </c>
      <c r="R8" s="2">
        <f t="shared" si="8"/>
        <v>5479.1800560000001</v>
      </c>
      <c r="S8" s="2">
        <f t="shared" si="8"/>
        <v>5759.4124296000009</v>
      </c>
      <c r="T8" s="2">
        <f t="shared" si="8"/>
        <v>6055.4883770208007</v>
      </c>
    </row>
    <row r="9" spans="1:120" x14ac:dyDescent="0.2">
      <c r="B9" s="2" t="s">
        <v>21</v>
      </c>
      <c r="C9" s="2">
        <f>C5-C8</f>
        <v>-1143</v>
      </c>
      <c r="D9" s="2">
        <f>D5-D8</f>
        <v>-33</v>
      </c>
      <c r="E9" s="2">
        <f>E5-E8</f>
        <v>0</v>
      </c>
      <c r="F9" s="2">
        <f t="shared" ref="F9:G9" si="9">F5-F8</f>
        <v>0</v>
      </c>
      <c r="G9" s="2">
        <f t="shared" si="9"/>
        <v>2172</v>
      </c>
      <c r="H9" s="2">
        <f>H5-H8</f>
        <v>1780</v>
      </c>
      <c r="I9" s="2">
        <f>I5-I8</f>
        <v>2161</v>
      </c>
      <c r="J9" s="2">
        <f>J5-J8</f>
        <v>2328.1999999999998</v>
      </c>
      <c r="L9" s="2">
        <f>L5-L8</f>
        <v>9429</v>
      </c>
      <c r="M9" s="2">
        <f t="shared" ref="M9:T9" si="10">M5-M8</f>
        <v>-5450</v>
      </c>
      <c r="N9" s="2">
        <f t="shared" si="10"/>
        <v>1431</v>
      </c>
      <c r="O9" s="2">
        <f t="shared" si="10"/>
        <v>8441.2000000000007</v>
      </c>
      <c r="P9" s="2">
        <f t="shared" si="10"/>
        <v>12264.210000000001</v>
      </c>
      <c r="Q9" s="2">
        <f t="shared" si="10"/>
        <v>13735.776600000001</v>
      </c>
      <c r="R9" s="2">
        <f t="shared" si="10"/>
        <v>15365.477844000001</v>
      </c>
      <c r="S9" s="2">
        <f t="shared" si="10"/>
        <v>17169.711260399999</v>
      </c>
      <c r="T9" s="2">
        <f t="shared" si="10"/>
        <v>19166.547681979206</v>
      </c>
    </row>
    <row r="10" spans="1:120" x14ac:dyDescent="0.2">
      <c r="B10" s="2" t="s">
        <v>22</v>
      </c>
      <c r="C10" s="2">
        <f>132-132</f>
        <v>0</v>
      </c>
      <c r="D10" s="2">
        <f>130-144</f>
        <v>-14</v>
      </c>
      <c r="G10" s="2">
        <f>107-118</f>
        <v>-11</v>
      </c>
      <c r="H10" s="2">
        <f>108-112</f>
        <v>-4</v>
      </c>
      <c r="I10" s="2">
        <f>H20*$W$16/4</f>
        <v>-41.64</v>
      </c>
      <c r="J10" s="2">
        <f>I20*$W$16/4</f>
        <v>-33.162559999999999</v>
      </c>
      <c r="L10" s="2">
        <f>529-562</f>
        <v>-33</v>
      </c>
      <c r="M10" s="2">
        <f>468-388</f>
        <v>80</v>
      </c>
      <c r="N10" s="2">
        <f>96-189</f>
        <v>-93</v>
      </c>
      <c r="O10" s="2">
        <f>SUM(G10:J10)</f>
        <v>-89.80256</v>
      </c>
      <c r="P10" s="2">
        <f>O20*$W$16</f>
        <v>-95.92964096</v>
      </c>
      <c r="Q10" s="2">
        <f t="shared" ref="Q10:T10" si="11">P20*$W$16</f>
        <v>98.762844784640038</v>
      </c>
      <c r="R10" s="2">
        <f t="shared" si="11"/>
        <v>320.11547590119432</v>
      </c>
      <c r="S10" s="2">
        <f t="shared" si="11"/>
        <v>571.08496901961348</v>
      </c>
      <c r="T10" s="2">
        <f t="shared" si="11"/>
        <v>854.9377086903271</v>
      </c>
    </row>
    <row r="11" spans="1:120" x14ac:dyDescent="0.2">
      <c r="B11" s="2" t="s">
        <v>23</v>
      </c>
      <c r="C11" s="2">
        <f>SUM(C9:C10)</f>
        <v>-1143</v>
      </c>
      <c r="D11" s="2">
        <f>SUM(D9:D10)</f>
        <v>-47</v>
      </c>
      <c r="E11" s="2">
        <f>SUM(E9:E10)</f>
        <v>0</v>
      </c>
      <c r="F11" s="2">
        <f t="shared" ref="F11:G11" si="12">SUM(F9:F10)</f>
        <v>0</v>
      </c>
      <c r="G11" s="2">
        <f t="shared" si="12"/>
        <v>2161</v>
      </c>
      <c r="H11" s="2">
        <f>SUM(H9:H10)</f>
        <v>1776</v>
      </c>
      <c r="I11" s="2">
        <f>SUM(I9:I10)</f>
        <v>2119.36</v>
      </c>
      <c r="J11" s="2">
        <f>SUM(J9:J10)</f>
        <v>2295.0374399999996</v>
      </c>
      <c r="L11" s="2">
        <f>SUM(L9:L10)</f>
        <v>9396</v>
      </c>
      <c r="M11" s="2">
        <f t="shared" ref="M11:T11" si="13">SUM(M9:M10)</f>
        <v>-5370</v>
      </c>
      <c r="N11" s="2">
        <f t="shared" si="13"/>
        <v>1338</v>
      </c>
      <c r="O11" s="2">
        <f t="shared" si="13"/>
        <v>8351.3974400000006</v>
      </c>
      <c r="P11" s="2">
        <f t="shared" si="13"/>
        <v>12168.280359040002</v>
      </c>
      <c r="Q11" s="2">
        <f t="shared" si="13"/>
        <v>13834.539444784641</v>
      </c>
      <c r="R11" s="2">
        <f t="shared" si="13"/>
        <v>15685.593319901196</v>
      </c>
      <c r="S11" s="2">
        <f t="shared" si="13"/>
        <v>17740.796229419611</v>
      </c>
      <c r="T11" s="2">
        <f t="shared" si="13"/>
        <v>20021.485390669532</v>
      </c>
    </row>
    <row r="12" spans="1:120" x14ac:dyDescent="0.2">
      <c r="B12" s="2" t="s">
        <v>24</v>
      </c>
      <c r="C12" s="2">
        <v>73</v>
      </c>
      <c r="D12" s="2">
        <v>-622</v>
      </c>
      <c r="G12" s="2">
        <v>283</v>
      </c>
      <c r="H12" s="2">
        <v>177</v>
      </c>
      <c r="I12" s="2">
        <f>I11*0.2</f>
        <v>423.87200000000007</v>
      </c>
      <c r="J12" s="2">
        <f>J11*0.2</f>
        <v>459.00748799999997</v>
      </c>
      <c r="L12" s="2">
        <v>888</v>
      </c>
      <c r="M12" s="2">
        <v>177</v>
      </c>
      <c r="N12" s="2">
        <v>451</v>
      </c>
      <c r="O12" s="2">
        <f>SUM(G12:J12)</f>
        <v>1342.879488</v>
      </c>
      <c r="P12" s="2">
        <f>P11*0.2</f>
        <v>2433.6560718080004</v>
      </c>
      <c r="Q12" s="2">
        <f t="shared" ref="Q12:T12" si="14">Q11*0.2</f>
        <v>2766.9078889569282</v>
      </c>
      <c r="R12" s="2">
        <f t="shared" si="14"/>
        <v>3137.1186639802395</v>
      </c>
      <c r="S12" s="2">
        <f t="shared" si="14"/>
        <v>3548.1592458839223</v>
      </c>
      <c r="T12" s="2">
        <f t="shared" si="14"/>
        <v>4004.2970781339063</v>
      </c>
    </row>
    <row r="13" spans="1:120" x14ac:dyDescent="0.2">
      <c r="B13" s="2" t="s">
        <v>25</v>
      </c>
      <c r="C13" s="2">
        <f>C11-C12</f>
        <v>-1216</v>
      </c>
      <c r="D13" s="2">
        <f>D11-D12</f>
        <v>575</v>
      </c>
      <c r="E13" s="2">
        <f>E11-E12</f>
        <v>0</v>
      </c>
      <c r="F13" s="2">
        <f t="shared" ref="F13:G13" si="15">F11-F12</f>
        <v>0</v>
      </c>
      <c r="G13" s="2">
        <f t="shared" si="15"/>
        <v>1878</v>
      </c>
      <c r="H13" s="2">
        <f>H11-H12</f>
        <v>1599</v>
      </c>
      <c r="I13" s="2">
        <f>I11-I12</f>
        <v>1695.4880000000001</v>
      </c>
      <c r="J13" s="2">
        <f>J11-J12</f>
        <v>1836.0299519999996</v>
      </c>
      <c r="L13" s="2">
        <f>L11-L12</f>
        <v>8508</v>
      </c>
      <c r="M13" s="2">
        <f t="shared" ref="M13:T13" si="16">M11-M12</f>
        <v>-5547</v>
      </c>
      <c r="N13" s="2">
        <f t="shared" si="16"/>
        <v>887</v>
      </c>
      <c r="O13" s="2">
        <f t="shared" si="16"/>
        <v>7008.5179520000002</v>
      </c>
      <c r="P13" s="2">
        <f t="shared" si="16"/>
        <v>9734.6242872320017</v>
      </c>
      <c r="Q13" s="2">
        <f t="shared" si="16"/>
        <v>11067.631555827713</v>
      </c>
      <c r="R13" s="2">
        <f t="shared" si="16"/>
        <v>12548.474655920956</v>
      </c>
      <c r="S13" s="2">
        <f t="shared" si="16"/>
        <v>14192.636983535689</v>
      </c>
      <c r="T13" s="2">
        <f t="shared" si="16"/>
        <v>16017.188312535625</v>
      </c>
      <c r="U13" s="2">
        <f>T13*(1+$W$17)</f>
        <v>16177.360195660982</v>
      </c>
      <c r="V13" s="2">
        <f t="shared" ref="V13:CG13" si="17">U13*(1+$W$17)</f>
        <v>16339.133797617591</v>
      </c>
      <c r="W13" s="2">
        <f t="shared" si="17"/>
        <v>16502.525135593765</v>
      </c>
      <c r="X13" s="2">
        <f t="shared" si="17"/>
        <v>16667.550386949704</v>
      </c>
      <c r="Y13" s="2">
        <f t="shared" si="17"/>
        <v>16834.225890819202</v>
      </c>
      <c r="Z13" s="2">
        <f t="shared" si="17"/>
        <v>17002.568149727394</v>
      </c>
      <c r="AA13" s="2">
        <f t="shared" si="17"/>
        <v>17172.593831224669</v>
      </c>
      <c r="AB13" s="2">
        <f t="shared" si="17"/>
        <v>17344.319769536916</v>
      </c>
      <c r="AC13" s="2">
        <f t="shared" si="17"/>
        <v>17517.762967232287</v>
      </c>
      <c r="AD13" s="2">
        <f t="shared" si="17"/>
        <v>17692.940596904609</v>
      </c>
      <c r="AE13" s="2">
        <f t="shared" si="17"/>
        <v>17869.870002873657</v>
      </c>
      <c r="AF13" s="2">
        <f t="shared" si="17"/>
        <v>18048.568702902394</v>
      </c>
      <c r="AG13" s="2">
        <f t="shared" si="17"/>
        <v>18229.054389931418</v>
      </c>
      <c r="AH13" s="2">
        <f t="shared" si="17"/>
        <v>18411.344933830733</v>
      </c>
      <c r="AI13" s="2">
        <f t="shared" si="17"/>
        <v>18595.45838316904</v>
      </c>
      <c r="AJ13" s="2">
        <f t="shared" si="17"/>
        <v>18781.412967000731</v>
      </c>
      <c r="AK13" s="2">
        <f t="shared" si="17"/>
        <v>18969.22709667074</v>
      </c>
      <c r="AL13" s="2">
        <f t="shared" si="17"/>
        <v>19158.919367637449</v>
      </c>
      <c r="AM13" s="2">
        <f t="shared" si="17"/>
        <v>19350.508561313825</v>
      </c>
      <c r="AN13" s="2">
        <f t="shared" si="17"/>
        <v>19544.013646926964</v>
      </c>
      <c r="AO13" s="2">
        <f t="shared" si="17"/>
        <v>19739.453783396235</v>
      </c>
      <c r="AP13" s="2">
        <f t="shared" si="17"/>
        <v>19936.848321230198</v>
      </c>
      <c r="AQ13" s="2">
        <f t="shared" si="17"/>
        <v>20136.216804442502</v>
      </c>
      <c r="AR13" s="2">
        <f t="shared" si="17"/>
        <v>20337.578972486928</v>
      </c>
      <c r="AS13" s="2">
        <f t="shared" si="17"/>
        <v>20540.954762211797</v>
      </c>
      <c r="AT13" s="2">
        <f t="shared" si="17"/>
        <v>20746.364309833916</v>
      </c>
      <c r="AU13" s="2">
        <f t="shared" si="17"/>
        <v>20953.827952932257</v>
      </c>
      <c r="AV13" s="2">
        <f t="shared" si="17"/>
        <v>21163.36623246158</v>
      </c>
      <c r="AW13" s="2">
        <f t="shared" si="17"/>
        <v>21374.999894786197</v>
      </c>
      <c r="AX13" s="2">
        <f t="shared" si="17"/>
        <v>21588.749893734061</v>
      </c>
      <c r="AY13" s="2">
        <f t="shared" si="17"/>
        <v>21804.6373926714</v>
      </c>
      <c r="AZ13" s="2">
        <f t="shared" si="17"/>
        <v>22022.683766598115</v>
      </c>
      <c r="BA13" s="2">
        <f t="shared" si="17"/>
        <v>22242.910604264096</v>
      </c>
      <c r="BB13" s="2">
        <f t="shared" si="17"/>
        <v>22465.339710306736</v>
      </c>
      <c r="BC13" s="2">
        <f t="shared" si="17"/>
        <v>22689.993107409802</v>
      </c>
      <c r="BD13" s="2">
        <f t="shared" si="17"/>
        <v>22916.8930384839</v>
      </c>
      <c r="BE13" s="2">
        <f t="shared" si="17"/>
        <v>23146.06196886874</v>
      </c>
      <c r="BF13" s="2">
        <f t="shared" si="17"/>
        <v>23377.522588557429</v>
      </c>
      <c r="BG13" s="2">
        <f t="shared" si="17"/>
        <v>23611.297814443005</v>
      </c>
      <c r="BH13" s="2">
        <f t="shared" si="17"/>
        <v>23847.410792587434</v>
      </c>
      <c r="BI13" s="2">
        <f t="shared" si="17"/>
        <v>24085.884900513309</v>
      </c>
      <c r="BJ13" s="2">
        <f t="shared" si="17"/>
        <v>24326.743749518442</v>
      </c>
      <c r="BK13" s="2">
        <f t="shared" si="17"/>
        <v>24570.011187013628</v>
      </c>
      <c r="BL13" s="2">
        <f t="shared" si="17"/>
        <v>24815.711298883765</v>
      </c>
      <c r="BM13" s="2">
        <f t="shared" si="17"/>
        <v>25063.868411872601</v>
      </c>
      <c r="BN13" s="2">
        <f t="shared" si="17"/>
        <v>25314.507095991328</v>
      </c>
      <c r="BO13" s="2">
        <f t="shared" si="17"/>
        <v>25567.65216695124</v>
      </c>
      <c r="BP13" s="2">
        <f t="shared" si="17"/>
        <v>25823.328688620753</v>
      </c>
      <c r="BQ13" s="2">
        <f t="shared" si="17"/>
        <v>26081.56197550696</v>
      </c>
      <c r="BR13" s="2">
        <f t="shared" si="17"/>
        <v>26342.377595262031</v>
      </c>
      <c r="BS13" s="2">
        <f t="shared" si="17"/>
        <v>26605.801371214653</v>
      </c>
      <c r="BT13" s="2">
        <f t="shared" si="17"/>
        <v>26871.8593849268</v>
      </c>
      <c r="BU13" s="2">
        <f t="shared" si="17"/>
        <v>27140.577978776069</v>
      </c>
      <c r="BV13" s="2">
        <f t="shared" si="17"/>
        <v>27411.983758563831</v>
      </c>
      <c r="BW13" s="2">
        <f t="shared" si="17"/>
        <v>27686.103596149471</v>
      </c>
      <c r="BX13" s="2">
        <f t="shared" si="17"/>
        <v>27962.964632110965</v>
      </c>
      <c r="BY13" s="2">
        <f t="shared" si="17"/>
        <v>28242.594278432076</v>
      </c>
      <c r="BZ13" s="2">
        <f t="shared" si="17"/>
        <v>28525.020221216397</v>
      </c>
      <c r="CA13" s="2">
        <f t="shared" si="17"/>
        <v>28810.270423428559</v>
      </c>
      <c r="CB13" s="2">
        <f t="shared" si="17"/>
        <v>29098.373127662846</v>
      </c>
      <c r="CC13" s="2">
        <f t="shared" si="17"/>
        <v>29389.356858939474</v>
      </c>
      <c r="CD13" s="2">
        <f t="shared" si="17"/>
        <v>29683.25042752887</v>
      </c>
      <c r="CE13" s="2">
        <f t="shared" si="17"/>
        <v>29980.082931804158</v>
      </c>
      <c r="CF13" s="2">
        <f t="shared" si="17"/>
        <v>30279.883761122201</v>
      </c>
      <c r="CG13" s="2">
        <f t="shared" si="17"/>
        <v>30582.682598733423</v>
      </c>
      <c r="CH13" s="2">
        <f t="shared" ref="CH13:DP13" si="18">CG13*(1+$W$17)</f>
        <v>30888.509424720756</v>
      </c>
      <c r="CI13" s="2">
        <f t="shared" si="18"/>
        <v>31197.394518967965</v>
      </c>
      <c r="CJ13" s="2">
        <f t="shared" si="18"/>
        <v>31509.368464157644</v>
      </c>
      <c r="CK13" s="2">
        <f t="shared" si="18"/>
        <v>31824.462148799219</v>
      </c>
      <c r="CL13" s="2">
        <f t="shared" si="18"/>
        <v>32142.706770287212</v>
      </c>
      <c r="CM13" s="2">
        <f t="shared" si="18"/>
        <v>32464.133837990084</v>
      </c>
      <c r="CN13" s="2">
        <f t="shared" si="18"/>
        <v>32788.775176369985</v>
      </c>
      <c r="CO13" s="2">
        <f t="shared" si="18"/>
        <v>33116.662928133686</v>
      </c>
      <c r="CP13" s="2">
        <f t="shared" si="18"/>
        <v>33447.829557415025</v>
      </c>
      <c r="CQ13" s="2">
        <f t="shared" si="18"/>
        <v>33782.307852989179</v>
      </c>
      <c r="CR13" s="2">
        <f t="shared" si="18"/>
        <v>34120.130931519074</v>
      </c>
      <c r="CS13" s="2">
        <f t="shared" si="18"/>
        <v>34461.332240834265</v>
      </c>
      <c r="CT13" s="2">
        <f t="shared" si="18"/>
        <v>34805.945563242611</v>
      </c>
      <c r="CU13" s="2">
        <f t="shared" si="18"/>
        <v>35154.005018875039</v>
      </c>
      <c r="CV13" s="2">
        <f t="shared" si="18"/>
        <v>35505.545069063788</v>
      </c>
      <c r="CW13" s="2">
        <f t="shared" si="18"/>
        <v>35860.600519754429</v>
      </c>
      <c r="CX13" s="2">
        <f t="shared" si="18"/>
        <v>36219.206524951973</v>
      </c>
      <c r="CY13" s="2">
        <f t="shared" si="18"/>
        <v>36581.39859020149</v>
      </c>
      <c r="CZ13" s="2">
        <f t="shared" si="18"/>
        <v>36947.212576103506</v>
      </c>
      <c r="DA13" s="2">
        <f t="shared" si="18"/>
        <v>37316.684701864542</v>
      </c>
      <c r="DB13" s="2">
        <f t="shared" si="18"/>
        <v>37689.851548883191</v>
      </c>
      <c r="DC13" s="2">
        <f t="shared" si="18"/>
        <v>38066.75006437202</v>
      </c>
      <c r="DD13" s="2">
        <f t="shared" si="18"/>
        <v>38447.417565015741</v>
      </c>
      <c r="DE13" s="2">
        <f t="shared" si="18"/>
        <v>38831.891740665902</v>
      </c>
      <c r="DF13" s="2">
        <f t="shared" si="18"/>
        <v>39220.210658072559</v>
      </c>
      <c r="DG13" s="2">
        <f t="shared" si="18"/>
        <v>39612.412764653287</v>
      </c>
      <c r="DH13" s="2">
        <f t="shared" si="18"/>
        <v>40008.536892299817</v>
      </c>
      <c r="DI13" s="2">
        <f t="shared" si="18"/>
        <v>40408.622261222816</v>
      </c>
      <c r="DJ13" s="2">
        <f t="shared" si="18"/>
        <v>40812.708483835042</v>
      </c>
      <c r="DK13" s="2">
        <f t="shared" si="18"/>
        <v>41220.835568673392</v>
      </c>
      <c r="DL13" s="2">
        <f t="shared" si="18"/>
        <v>41633.043924360129</v>
      </c>
      <c r="DM13" s="2">
        <f t="shared" si="18"/>
        <v>42049.374363603732</v>
      </c>
      <c r="DN13" s="2">
        <f t="shared" si="18"/>
        <v>42469.868107239767</v>
      </c>
      <c r="DO13" s="2">
        <f t="shared" si="18"/>
        <v>42894.566788312164</v>
      </c>
      <c r="DP13" s="2">
        <f t="shared" si="18"/>
        <v>43323.512456195283</v>
      </c>
    </row>
    <row r="14" spans="1:120" x14ac:dyDescent="0.2">
      <c r="B14" s="2" t="s">
        <v>1</v>
      </c>
      <c r="C14" s="2">
        <v>1100</v>
      </c>
      <c r="D14" s="2">
        <v>1104</v>
      </c>
      <c r="G14" s="2">
        <v>1111</v>
      </c>
      <c r="H14" s="2">
        <v>1115</v>
      </c>
      <c r="I14" s="2">
        <f>H14</f>
        <v>1115</v>
      </c>
      <c r="J14" s="2">
        <f>I14</f>
        <v>1115</v>
      </c>
      <c r="L14" s="2">
        <v>1112</v>
      </c>
      <c r="M14" s="2">
        <v>1093</v>
      </c>
      <c r="N14" s="2">
        <v>1105</v>
      </c>
      <c r="O14" s="2">
        <f>J14</f>
        <v>1115</v>
      </c>
      <c r="P14" s="2">
        <f>O14*0.97</f>
        <v>1081.55</v>
      </c>
      <c r="Q14" s="2">
        <f t="shared" ref="Q14:T14" si="19">P14*0.97</f>
        <v>1049.1034999999999</v>
      </c>
      <c r="R14" s="2">
        <f t="shared" si="19"/>
        <v>1017.6303949999999</v>
      </c>
      <c r="S14" s="2">
        <f t="shared" si="19"/>
        <v>987.10148314999992</v>
      </c>
      <c r="T14" s="2">
        <f t="shared" si="19"/>
        <v>957.48843865549986</v>
      </c>
    </row>
    <row r="15" spans="1:120" x14ac:dyDescent="0.2">
      <c r="B15" s="2" t="s">
        <v>26</v>
      </c>
      <c r="C15" s="1">
        <f>C13/C14</f>
        <v>-1.1054545454545455</v>
      </c>
      <c r="D15" s="1">
        <f t="shared" ref="D15:G15" si="20">D13/D14</f>
        <v>0.52083333333333337</v>
      </c>
      <c r="E15" s="1" t="e">
        <f t="shared" si="20"/>
        <v>#DIV/0!</v>
      </c>
      <c r="F15" s="1" t="e">
        <f t="shared" si="20"/>
        <v>#DIV/0!</v>
      </c>
      <c r="G15" s="1">
        <f t="shared" si="20"/>
        <v>1.6903690369036903</v>
      </c>
      <c r="H15" s="1">
        <f>H13/H14</f>
        <v>1.4340807174887893</v>
      </c>
      <c r="I15" s="1">
        <f t="shared" ref="I15:L15" si="21">I13/I14</f>
        <v>1.5206170403587445</v>
      </c>
      <c r="J15" s="1">
        <f t="shared" si="21"/>
        <v>1.6466636340807173</v>
      </c>
      <c r="L15" s="1">
        <f t="shared" si="21"/>
        <v>7.6510791366906474</v>
      </c>
      <c r="M15" s="1">
        <f t="shared" ref="M15" si="22">M13/M14</f>
        <v>-5.0750228728270814</v>
      </c>
      <c r="N15" s="1">
        <f t="shared" ref="N15" si="23">N13/N14</f>
        <v>0.80271493212669687</v>
      </c>
      <c r="O15" s="1">
        <f t="shared" ref="O15" si="24">O13/O14</f>
        <v>6.2856663246636773</v>
      </c>
      <c r="P15" s="1">
        <f t="shared" ref="P15" si="25">P13/P14</f>
        <v>9.0006234452702163</v>
      </c>
      <c r="Q15" s="1">
        <f t="shared" ref="Q15" si="26">Q13/Q14</f>
        <v>10.549608838239234</v>
      </c>
      <c r="R15" s="1">
        <f t="shared" ref="R15" si="27">R13/R14</f>
        <v>12.331072968708799</v>
      </c>
      <c r="S15" s="1">
        <f t="shared" ref="S15" si="28">S13/S14</f>
        <v>14.378093059129743</v>
      </c>
      <c r="T15" s="1">
        <f t="shared" ref="T15" si="29">T13/T14</f>
        <v>16.728335994350882</v>
      </c>
    </row>
    <row r="16" spans="1:120" x14ac:dyDescent="0.2">
      <c r="V16" s="2" t="s">
        <v>50</v>
      </c>
      <c r="W16" s="7">
        <v>0.02</v>
      </c>
    </row>
    <row r="17" spans="1:23" s="5" customFormat="1" x14ac:dyDescent="0.2">
      <c r="A17" s="2"/>
      <c r="B17" s="5" t="s">
        <v>27</v>
      </c>
      <c r="C17" s="2"/>
      <c r="G17" s="8">
        <f>G3/C3-1</f>
        <v>0.84278459585272958</v>
      </c>
      <c r="H17" s="8">
        <f>H3/D3-1</f>
        <v>0.38272664835164827</v>
      </c>
      <c r="I17" s="8" t="e">
        <f t="shared" ref="I17:J17" si="30">I3/E3-1</f>
        <v>#DIV/0!</v>
      </c>
      <c r="J17" s="8" t="e">
        <f t="shared" si="30"/>
        <v>#DIV/0!</v>
      </c>
      <c r="L17" s="8" t="e">
        <f>L3/K3-1</f>
        <v>#DIV/0!</v>
      </c>
      <c r="M17" s="8">
        <f t="shared" ref="M17:N17" si="31">M3/L3-1</f>
        <v>-0.4947655894401457</v>
      </c>
      <c r="N17" s="8">
        <f t="shared" si="31"/>
        <v>0.61589446589446584</v>
      </c>
      <c r="O17" s="8">
        <f>O3/N3-1</f>
        <v>0.38592648640038241</v>
      </c>
      <c r="P17" s="8">
        <f>P3/O3-1</f>
        <v>0.10000000000000009</v>
      </c>
      <c r="Q17" s="8">
        <f t="shared" ref="Q17:T17" si="32">Q3/P3-1</f>
        <v>0.10000000000000009</v>
      </c>
      <c r="R17" s="8">
        <f t="shared" si="32"/>
        <v>0.10000000000000009</v>
      </c>
      <c r="S17" s="8">
        <f t="shared" si="32"/>
        <v>0.10000000000000009</v>
      </c>
      <c r="T17" s="8">
        <f t="shared" si="32"/>
        <v>0.10000000000000009</v>
      </c>
      <c r="V17" s="2" t="s">
        <v>51</v>
      </c>
      <c r="W17" s="7">
        <v>0.01</v>
      </c>
    </row>
    <row r="18" spans="1:23" x14ac:dyDescent="0.2">
      <c r="B18" s="2" t="s">
        <v>17</v>
      </c>
      <c r="C18" s="7">
        <f t="shared" ref="C18:H18" si="33">C5/C3</f>
        <v>-7.4058400338552688E-3</v>
      </c>
      <c r="D18" s="7">
        <f t="shared" si="33"/>
        <v>0.18526785714285715</v>
      </c>
      <c r="E18" s="7" t="e">
        <f t="shared" si="33"/>
        <v>#DIV/0!</v>
      </c>
      <c r="F18" s="7" t="e">
        <f t="shared" si="33"/>
        <v>#DIV/0!</v>
      </c>
      <c r="G18" s="7">
        <f t="shared" si="33"/>
        <v>0.38442990010334138</v>
      </c>
      <c r="H18" s="7">
        <f t="shared" si="33"/>
        <v>0.36793741462808893</v>
      </c>
      <c r="I18" s="7">
        <v>0.38</v>
      </c>
      <c r="J18" s="7">
        <v>0.38</v>
      </c>
      <c r="L18" s="7">
        <f t="shared" ref="L18:O18" si="34">L5/L3</f>
        <v>0.45184992522270628</v>
      </c>
      <c r="M18" s="7">
        <f t="shared" si="34"/>
        <v>-9.1119691119691121E-2</v>
      </c>
      <c r="N18" s="7">
        <f t="shared" si="34"/>
        <v>0.22352753773246783</v>
      </c>
      <c r="O18" s="7">
        <f t="shared" si="34"/>
        <v>0.37831733808401818</v>
      </c>
      <c r="P18" s="7">
        <v>0.45</v>
      </c>
      <c r="Q18" s="7">
        <v>0.45</v>
      </c>
      <c r="R18" s="7">
        <v>0.45</v>
      </c>
      <c r="S18" s="7">
        <v>0.45</v>
      </c>
      <c r="T18" s="7">
        <v>0.45</v>
      </c>
      <c r="V18" s="2" t="s">
        <v>52</v>
      </c>
      <c r="W18" s="7">
        <v>0.08</v>
      </c>
    </row>
    <row r="19" spans="1:23" x14ac:dyDescent="0.2">
      <c r="V19" s="2" t="s">
        <v>53</v>
      </c>
      <c r="W19" s="2">
        <f>NPV(W18,P13:DP13)+Main!N5-Main!N6</f>
        <v>198561.55662005395</v>
      </c>
    </row>
    <row r="20" spans="1:23" x14ac:dyDescent="0.2">
      <c r="B20" s="2" t="s">
        <v>28</v>
      </c>
      <c r="C20" s="2">
        <f>C21-SUM(C35:C38)</f>
        <v>0</v>
      </c>
      <c r="D20" s="2">
        <f>D21-SUM(D35:D38)</f>
        <v>-6931</v>
      </c>
      <c r="E20" s="2">
        <f t="shared" ref="E20:L20" si="35">E21-SUM(E35:E38)</f>
        <v>0</v>
      </c>
      <c r="F20" s="2">
        <f t="shared" si="35"/>
        <v>0</v>
      </c>
      <c r="G20" s="2">
        <f t="shared" si="35"/>
        <v>0</v>
      </c>
      <c r="H20" s="2">
        <f t="shared" si="35"/>
        <v>-8328</v>
      </c>
      <c r="I20" s="2">
        <f>H20+I13</f>
        <v>-6632.5119999999997</v>
      </c>
      <c r="J20" s="2">
        <f>I20+J13</f>
        <v>-4796.4820479999998</v>
      </c>
      <c r="L20" s="2">
        <f t="shared" si="35"/>
        <v>0</v>
      </c>
      <c r="M20" s="2">
        <f t="shared" ref="M20" si="36">M21-SUM(M35:M38)</f>
        <v>-5775</v>
      </c>
      <c r="N20" s="2">
        <f t="shared" ref="N20" si="37">N21-SUM(N35:N38)</f>
        <v>-6931</v>
      </c>
      <c r="O20" s="2">
        <f>J20</f>
        <v>-4796.4820479999998</v>
      </c>
      <c r="P20" s="2">
        <f>O20+P13</f>
        <v>4938.1422392320019</v>
      </c>
      <c r="Q20" s="2">
        <f t="shared" ref="Q20:T20" si="38">P20+Q13</f>
        <v>16005.773795059715</v>
      </c>
      <c r="R20" s="2">
        <f t="shared" si="38"/>
        <v>28554.248450980671</v>
      </c>
      <c r="S20" s="2">
        <f t="shared" si="38"/>
        <v>42746.885434516356</v>
      </c>
      <c r="T20" s="2">
        <f t="shared" si="38"/>
        <v>58764.073747051982</v>
      </c>
      <c r="V20" s="2" t="s">
        <v>54</v>
      </c>
      <c r="W20" s="1">
        <f>W19/Main!N3</f>
        <v>177.6678208840855</v>
      </c>
    </row>
    <row r="21" spans="1:23" x14ac:dyDescent="0.2">
      <c r="B21" s="2" t="s">
        <v>3</v>
      </c>
      <c r="D21" s="2">
        <f>7041+1065</f>
        <v>8106</v>
      </c>
      <c r="H21" s="2">
        <f>7552+663</f>
        <v>8215</v>
      </c>
      <c r="M21" s="2">
        <f>8577+1017</f>
        <v>9594</v>
      </c>
      <c r="N21" s="2">
        <f>7041+1065</f>
        <v>8106</v>
      </c>
      <c r="W21" s="7">
        <f>W20/Main!N2-1</f>
        <v>0.38802985065691797</v>
      </c>
    </row>
    <row r="22" spans="1:23" x14ac:dyDescent="0.2">
      <c r="B22" s="2" t="s">
        <v>29</v>
      </c>
      <c r="D22" s="2">
        <v>6615</v>
      </c>
      <c r="H22" s="2">
        <v>6504</v>
      </c>
      <c r="M22" s="2">
        <v>2443</v>
      </c>
      <c r="N22" s="2">
        <v>6615</v>
      </c>
    </row>
    <row r="23" spans="1:23" x14ac:dyDescent="0.2">
      <c r="B23" s="2" t="s">
        <v>34</v>
      </c>
      <c r="D23" s="2">
        <v>8875</v>
      </c>
      <c r="H23" s="2">
        <v>9007</v>
      </c>
      <c r="M23" s="2">
        <v>8387</v>
      </c>
      <c r="N23" s="2">
        <v>8875</v>
      </c>
    </row>
    <row r="24" spans="1:23" x14ac:dyDescent="0.2">
      <c r="B24" s="2" t="s">
        <v>35</v>
      </c>
      <c r="D24" s="2">
        <v>1046</v>
      </c>
      <c r="H24" s="2">
        <v>1375</v>
      </c>
      <c r="M24" s="2">
        <v>844</v>
      </c>
      <c r="N24" s="2">
        <v>1046</v>
      </c>
    </row>
    <row r="25" spans="1:23" x14ac:dyDescent="0.2">
      <c r="B25" s="2" t="s">
        <v>36</v>
      </c>
      <c r="D25" s="2">
        <v>39749</v>
      </c>
      <c r="H25" s="2">
        <v>42528</v>
      </c>
      <c r="M25" s="2">
        <v>37928</v>
      </c>
      <c r="N25" s="2">
        <v>39749</v>
      </c>
    </row>
    <row r="26" spans="1:23" x14ac:dyDescent="0.2">
      <c r="B26" s="2" t="s">
        <v>38</v>
      </c>
      <c r="D26" s="2">
        <v>645</v>
      </c>
      <c r="H26" s="2">
        <v>637</v>
      </c>
      <c r="M26" s="2">
        <v>666</v>
      </c>
      <c r="N26" s="2">
        <v>645</v>
      </c>
    </row>
    <row r="27" spans="1:23" x14ac:dyDescent="0.2">
      <c r="B27" s="2" t="s">
        <v>39</v>
      </c>
      <c r="D27" s="2">
        <v>416</v>
      </c>
      <c r="H27" s="2">
        <v>423</v>
      </c>
      <c r="M27" s="2">
        <v>404</v>
      </c>
      <c r="N27" s="2">
        <v>416</v>
      </c>
    </row>
    <row r="28" spans="1:23" x14ac:dyDescent="0.2">
      <c r="B28" s="2" t="s">
        <v>40</v>
      </c>
      <c r="D28" s="2">
        <v>520</v>
      </c>
      <c r="H28" s="2">
        <v>552</v>
      </c>
      <c r="M28" s="2">
        <v>756</v>
      </c>
      <c r="N28" s="2">
        <v>520</v>
      </c>
    </row>
    <row r="29" spans="1:23" x14ac:dyDescent="0.2">
      <c r="B29" s="2" t="s">
        <v>41</v>
      </c>
      <c r="D29" s="2">
        <v>1150</v>
      </c>
      <c r="H29" s="2">
        <v>1150</v>
      </c>
      <c r="M29" s="2">
        <v>1150</v>
      </c>
      <c r="N29" s="2">
        <v>1150</v>
      </c>
    </row>
    <row r="30" spans="1:23" x14ac:dyDescent="0.2">
      <c r="B30" s="2" t="s">
        <v>42</v>
      </c>
      <c r="D30" s="2">
        <f>776+1518</f>
        <v>2294</v>
      </c>
      <c r="H30" s="2">
        <f>963+1699</f>
        <v>2662</v>
      </c>
      <c r="M30" s="2">
        <f>820+1262</f>
        <v>2082</v>
      </c>
      <c r="N30" s="2">
        <f>776+1518</f>
        <v>2294</v>
      </c>
    </row>
    <row r="31" spans="1:23" x14ac:dyDescent="0.2">
      <c r="B31" s="2" t="s">
        <v>43</v>
      </c>
      <c r="C31" s="2">
        <f t="shared" ref="C31:J31" si="39">SUM(C21:C30)</f>
        <v>0</v>
      </c>
      <c r="D31" s="2">
        <f t="shared" si="39"/>
        <v>69416</v>
      </c>
      <c r="E31" s="2">
        <f t="shared" si="39"/>
        <v>0</v>
      </c>
      <c r="F31" s="2">
        <f t="shared" si="39"/>
        <v>0</v>
      </c>
      <c r="G31" s="2">
        <f t="shared" si="39"/>
        <v>0</v>
      </c>
      <c r="H31" s="2">
        <f t="shared" si="39"/>
        <v>73053</v>
      </c>
      <c r="I31" s="2">
        <f t="shared" si="39"/>
        <v>0</v>
      </c>
      <c r="J31" s="2">
        <f t="shared" si="39"/>
        <v>0</v>
      </c>
      <c r="L31" s="2">
        <f>SUM(L21:L30)</f>
        <v>0</v>
      </c>
      <c r="M31" s="2">
        <f t="shared" ref="M31:T31" si="40">SUM(M21:M30)</f>
        <v>64254</v>
      </c>
      <c r="N31" s="2">
        <f t="shared" si="40"/>
        <v>69416</v>
      </c>
      <c r="O31" s="2">
        <f t="shared" si="40"/>
        <v>0</v>
      </c>
      <c r="P31" s="2">
        <f t="shared" si="40"/>
        <v>0</v>
      </c>
      <c r="Q31" s="2">
        <f t="shared" si="40"/>
        <v>0</v>
      </c>
      <c r="R31" s="2">
        <f t="shared" si="40"/>
        <v>0</v>
      </c>
      <c r="S31" s="2">
        <f t="shared" si="40"/>
        <v>0</v>
      </c>
      <c r="T31" s="2">
        <f t="shared" si="40"/>
        <v>0</v>
      </c>
    </row>
    <row r="33" spans="1:20" x14ac:dyDescent="0.2">
      <c r="B33" s="2" t="s">
        <v>30</v>
      </c>
      <c r="D33" s="2">
        <v>7299</v>
      </c>
      <c r="H33" s="2">
        <v>6176</v>
      </c>
      <c r="M33" s="2">
        <v>3958</v>
      </c>
      <c r="N33" s="2">
        <v>7299</v>
      </c>
    </row>
    <row r="34" spans="1:20" x14ac:dyDescent="0.2">
      <c r="B34" s="2" t="s">
        <v>44</v>
      </c>
      <c r="D34" s="2">
        <f>431+1518</f>
        <v>1949</v>
      </c>
      <c r="H34" s="2">
        <f>504+1197</f>
        <v>1701</v>
      </c>
      <c r="M34" s="2">
        <f>278+529</f>
        <v>807</v>
      </c>
      <c r="N34" s="2">
        <f>431+1518</f>
        <v>1949</v>
      </c>
    </row>
    <row r="35" spans="1:20" x14ac:dyDescent="0.2">
      <c r="B35" s="2" t="s">
        <v>4</v>
      </c>
      <c r="D35" s="2">
        <v>12966</v>
      </c>
      <c r="H35" s="2">
        <v>13851</v>
      </c>
      <c r="M35" s="2">
        <v>13052</v>
      </c>
      <c r="N35" s="2">
        <v>12966</v>
      </c>
    </row>
    <row r="36" spans="1:20" x14ac:dyDescent="0.2">
      <c r="B36" s="2" t="s">
        <v>37</v>
      </c>
      <c r="D36" s="2">
        <v>610</v>
      </c>
      <c r="H36" s="2">
        <v>599</v>
      </c>
      <c r="M36" s="2">
        <v>603</v>
      </c>
      <c r="N36" s="2">
        <v>610</v>
      </c>
    </row>
    <row r="37" spans="1:20" x14ac:dyDescent="0.2">
      <c r="B37" s="2" t="s">
        <v>45</v>
      </c>
      <c r="D37" s="2">
        <v>550</v>
      </c>
      <c r="H37" s="2">
        <v>836</v>
      </c>
      <c r="M37" s="2">
        <v>727</v>
      </c>
      <c r="N37" s="2">
        <v>550</v>
      </c>
    </row>
    <row r="38" spans="1:20" x14ac:dyDescent="0.2">
      <c r="B38" s="2" t="s">
        <v>46</v>
      </c>
      <c r="D38" s="2">
        <v>911</v>
      </c>
      <c r="H38" s="2">
        <v>1257</v>
      </c>
      <c r="M38" s="2">
        <v>987</v>
      </c>
      <c r="N38" s="2">
        <v>911</v>
      </c>
    </row>
    <row r="39" spans="1:20" x14ac:dyDescent="0.2">
      <c r="B39" s="2" t="s">
        <v>47</v>
      </c>
      <c r="C39" s="2">
        <f>SUM(C33:C38)</f>
        <v>0</v>
      </c>
      <c r="D39" s="2">
        <f t="shared" ref="D39:L39" si="41">SUM(D33:D38)</f>
        <v>24285</v>
      </c>
      <c r="E39" s="2">
        <f t="shared" si="41"/>
        <v>0</v>
      </c>
      <c r="F39" s="2">
        <f t="shared" si="41"/>
        <v>0</v>
      </c>
      <c r="G39" s="2">
        <f t="shared" si="41"/>
        <v>0</v>
      </c>
      <c r="H39" s="2">
        <f t="shared" si="41"/>
        <v>24420</v>
      </c>
      <c r="I39" s="2">
        <f t="shared" si="41"/>
        <v>0</v>
      </c>
      <c r="J39" s="2">
        <f t="shared" si="41"/>
        <v>0</v>
      </c>
      <c r="L39" s="2">
        <f t="shared" si="41"/>
        <v>0</v>
      </c>
      <c r="M39" s="2">
        <f t="shared" ref="M39" si="42">SUM(M33:M38)</f>
        <v>20134</v>
      </c>
      <c r="N39" s="2">
        <f t="shared" ref="N39" si="43">SUM(N33:N38)</f>
        <v>24285</v>
      </c>
      <c r="O39" s="2">
        <f t="shared" ref="O39" si="44">SUM(O33:O38)</f>
        <v>0</v>
      </c>
      <c r="P39" s="2">
        <f t="shared" ref="P39" si="45">SUM(P33:P38)</f>
        <v>0</v>
      </c>
      <c r="Q39" s="2">
        <f t="shared" ref="Q39" si="46">SUM(Q33:Q38)</f>
        <v>0</v>
      </c>
      <c r="R39" s="2">
        <f t="shared" ref="R39" si="47">SUM(R33:R38)</f>
        <v>0</v>
      </c>
      <c r="S39" s="2">
        <f t="shared" ref="S39" si="48">SUM(S33:S38)</f>
        <v>0</v>
      </c>
      <c r="T39" s="2">
        <f t="shared" ref="T39" si="49">SUM(T33:T38)</f>
        <v>0</v>
      </c>
    </row>
    <row r="40" spans="1:20" x14ac:dyDescent="0.2">
      <c r="B40" s="2" t="s">
        <v>48</v>
      </c>
      <c r="C40" s="2">
        <f>C31-C39</f>
        <v>0</v>
      </c>
      <c r="D40" s="2">
        <f t="shared" ref="D40:L40" si="50">D31-D39</f>
        <v>45131</v>
      </c>
      <c r="E40" s="2">
        <f t="shared" si="50"/>
        <v>0</v>
      </c>
      <c r="F40" s="2">
        <f t="shared" si="50"/>
        <v>0</v>
      </c>
      <c r="G40" s="2">
        <f t="shared" si="50"/>
        <v>0</v>
      </c>
      <c r="H40" s="2">
        <f t="shared" si="50"/>
        <v>48633</v>
      </c>
      <c r="I40" s="2">
        <f t="shared" si="50"/>
        <v>0</v>
      </c>
      <c r="J40" s="2">
        <f t="shared" si="50"/>
        <v>0</v>
      </c>
      <c r="L40" s="2">
        <f t="shared" si="50"/>
        <v>0</v>
      </c>
      <c r="M40" s="2">
        <f t="shared" ref="M40" si="51">M31-M39</f>
        <v>44120</v>
      </c>
      <c r="N40" s="2">
        <f t="shared" ref="N40" si="52">N31-N39</f>
        <v>45131</v>
      </c>
      <c r="O40" s="2">
        <f t="shared" ref="O40" si="53">O31-O39</f>
        <v>0</v>
      </c>
      <c r="P40" s="2">
        <f t="shared" ref="P40" si="54">P31-P39</f>
        <v>0</v>
      </c>
      <c r="Q40" s="2">
        <f t="shared" ref="Q40" si="55">Q31-Q39</f>
        <v>0</v>
      </c>
      <c r="R40" s="2">
        <f t="shared" ref="R40" si="56">R31-R39</f>
        <v>0</v>
      </c>
      <c r="S40" s="2">
        <f t="shared" ref="S40" si="57">S31-S39</f>
        <v>0</v>
      </c>
      <c r="T40" s="2">
        <f t="shared" ref="T40" si="58">T31-T39</f>
        <v>0</v>
      </c>
    </row>
    <row r="41" spans="1:20" x14ac:dyDescent="0.2">
      <c r="B41" s="2" t="s">
        <v>49</v>
      </c>
      <c r="C41" s="2">
        <f>C39+C40</f>
        <v>0</v>
      </c>
      <c r="D41" s="2">
        <f t="shared" ref="D41:L41" si="59">D39+D40</f>
        <v>69416</v>
      </c>
      <c r="E41" s="2">
        <f t="shared" si="59"/>
        <v>0</v>
      </c>
      <c r="F41" s="2">
        <f t="shared" si="59"/>
        <v>0</v>
      </c>
      <c r="G41" s="2">
        <f t="shared" si="59"/>
        <v>0</v>
      </c>
      <c r="H41" s="2">
        <f t="shared" si="59"/>
        <v>73053</v>
      </c>
      <c r="I41" s="2">
        <f t="shared" si="59"/>
        <v>0</v>
      </c>
      <c r="J41" s="2">
        <f t="shared" si="59"/>
        <v>0</v>
      </c>
      <c r="L41" s="2">
        <f t="shared" si="59"/>
        <v>0</v>
      </c>
      <c r="M41" s="2">
        <f t="shared" ref="M41" si="60">M39+M40</f>
        <v>64254</v>
      </c>
      <c r="N41" s="2">
        <f t="shared" ref="N41" si="61">N39+N40</f>
        <v>69416</v>
      </c>
      <c r="O41" s="2">
        <f t="shared" ref="O41" si="62">O39+O40</f>
        <v>0</v>
      </c>
      <c r="P41" s="2">
        <f t="shared" ref="P41" si="63">P39+P40</f>
        <v>0</v>
      </c>
      <c r="Q41" s="2">
        <f t="shared" ref="Q41" si="64">Q39+Q40</f>
        <v>0</v>
      </c>
      <c r="R41" s="2">
        <f t="shared" ref="R41" si="65">R39+R40</f>
        <v>0</v>
      </c>
      <c r="S41" s="2">
        <f t="shared" ref="S41" si="66">S39+S40</f>
        <v>0</v>
      </c>
      <c r="T41" s="2">
        <f t="shared" ref="T41" si="67">T39+T40</f>
        <v>0</v>
      </c>
    </row>
    <row r="43" spans="1:20" x14ac:dyDescent="0.2">
      <c r="B43" s="2" t="s">
        <v>55</v>
      </c>
      <c r="C43" s="2">
        <f t="shared" ref="C43:J43" si="68">C40-C27-C29</f>
        <v>0</v>
      </c>
      <c r="D43" s="2">
        <f t="shared" si="68"/>
        <v>43565</v>
      </c>
      <c r="E43" s="2">
        <f t="shared" si="68"/>
        <v>0</v>
      </c>
      <c r="F43" s="2">
        <f t="shared" si="68"/>
        <v>0</v>
      </c>
      <c r="G43" s="2">
        <f t="shared" si="68"/>
        <v>0</v>
      </c>
      <c r="H43" s="2">
        <f t="shared" si="68"/>
        <v>47060</v>
      </c>
      <c r="I43" s="2">
        <f t="shared" si="68"/>
        <v>0</v>
      </c>
      <c r="J43" s="2">
        <f t="shared" si="68"/>
        <v>0</v>
      </c>
      <c r="L43" s="2">
        <f>L40-L27-L29</f>
        <v>0</v>
      </c>
      <c r="M43" s="2">
        <f t="shared" ref="M43:T43" si="69">M40-M27-M29</f>
        <v>42566</v>
      </c>
      <c r="N43" s="2">
        <f t="shared" si="69"/>
        <v>43565</v>
      </c>
      <c r="O43" s="2">
        <f t="shared" si="69"/>
        <v>0</v>
      </c>
      <c r="P43" s="2">
        <f t="shared" si="69"/>
        <v>0</v>
      </c>
      <c r="Q43" s="2">
        <f t="shared" si="69"/>
        <v>0</v>
      </c>
      <c r="R43" s="2">
        <f t="shared" si="69"/>
        <v>0</v>
      </c>
      <c r="S43" s="2">
        <f t="shared" si="69"/>
        <v>0</v>
      </c>
      <c r="T43" s="2">
        <f t="shared" si="69"/>
        <v>0</v>
      </c>
    </row>
    <row r="44" spans="1:20" x14ac:dyDescent="0.2">
      <c r="B44" s="2" t="s">
        <v>56</v>
      </c>
    </row>
    <row r="46" spans="1:20" x14ac:dyDescent="0.2">
      <c r="B46" s="2" t="s">
        <v>31</v>
      </c>
      <c r="D46" s="2">
        <v>2620</v>
      </c>
      <c r="H46" s="2">
        <v>7186</v>
      </c>
      <c r="L46" s="2">
        <v>15181</v>
      </c>
      <c r="M46" s="2">
        <v>1559</v>
      </c>
      <c r="N46" s="2">
        <v>8507</v>
      </c>
    </row>
    <row r="47" spans="1:20" x14ac:dyDescent="0.2">
      <c r="B47" s="2" t="s">
        <v>32</v>
      </c>
      <c r="D47" s="2">
        <v>3180</v>
      </c>
      <c r="H47" s="2">
        <v>7261</v>
      </c>
      <c r="L47" s="2">
        <v>12067</v>
      </c>
      <c r="M47" s="2">
        <v>7676</v>
      </c>
      <c r="N47" s="2">
        <v>8386</v>
      </c>
      <c r="O47" s="2">
        <v>14000</v>
      </c>
    </row>
    <row r="48" spans="1:20" s="5" customFormat="1" x14ac:dyDescent="0.2">
      <c r="A48" s="2"/>
      <c r="B48" s="5" t="s">
        <v>33</v>
      </c>
      <c r="C48" s="5">
        <f>C46-C47</f>
        <v>0</v>
      </c>
      <c r="D48" s="5">
        <f>D46-D47</f>
        <v>-560</v>
      </c>
      <c r="E48" s="5">
        <f>E46-E47</f>
        <v>0</v>
      </c>
      <c r="F48" s="5">
        <f>F46-F47</f>
        <v>0</v>
      </c>
      <c r="G48" s="5">
        <f t="shared" ref="G48:J48" si="70">G46-G47</f>
        <v>0</v>
      </c>
      <c r="H48" s="5">
        <f t="shared" si="70"/>
        <v>-75</v>
      </c>
      <c r="I48" s="5">
        <f t="shared" si="70"/>
        <v>0</v>
      </c>
      <c r="J48" s="5">
        <f t="shared" si="70"/>
        <v>0</v>
      </c>
      <c r="L48" s="5">
        <f>L46-L47</f>
        <v>3114</v>
      </c>
      <c r="M48" s="5">
        <f>M46-M47</f>
        <v>-6117</v>
      </c>
      <c r="N48" s="5">
        <f t="shared" ref="N48" si="71">N46-N47</f>
        <v>121</v>
      </c>
      <c r="O48" s="5">
        <f t="shared" ref="O48" si="72">O46-O47</f>
        <v>-14000</v>
      </c>
      <c r="P48" s="5">
        <f t="shared" ref="P48" si="73">P46-P47</f>
        <v>0</v>
      </c>
      <c r="Q48" s="5">
        <f t="shared" ref="Q48" si="74">Q46-Q47</f>
        <v>0</v>
      </c>
      <c r="R48" s="5">
        <f t="shared" ref="R48" si="75">R46-R47</f>
        <v>0</v>
      </c>
      <c r="S48" s="5">
        <f t="shared" ref="S48" si="76">S46-S47</f>
        <v>0</v>
      </c>
      <c r="T48" s="5">
        <f t="shared" ref="T48" si="77">T46-T47</f>
        <v>0</v>
      </c>
    </row>
  </sheetData>
  <hyperlinks>
    <hyperlink ref="A1" location="Main!A1" display="Main" xr:uid="{572BB72D-DDC2-46F4-A6DC-953A98A15A63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2025-06-24T20:22:23Z</dcterms:created>
  <dcterms:modified xsi:type="dcterms:W3CDTF">2025-06-25T03:09:15Z</dcterms:modified>
</cp:coreProperties>
</file>