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E0BA8F24-CF46-474B-8BF6-D2D8B5D9556A}" xr6:coauthVersionLast="47" xr6:coauthVersionMax="47" xr10:uidLastSave="{00000000-0000-0000-0000-000000000000}"/>
  <bookViews>
    <workbookView xWindow="14295" yWindow="0" windowWidth="14610" windowHeight="15585" activeTab="1" xr2:uid="{87F9C278-582D-4F12-A964-BB568CD74D2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" i="2" l="1"/>
  <c r="P20" i="2"/>
  <c r="Q20" i="2"/>
  <c r="R20" i="2" s="1"/>
  <c r="S20" i="2" s="1"/>
  <c r="N20" i="2"/>
  <c r="P2" i="2"/>
  <c r="Q2" i="2"/>
  <c r="R2" i="2" s="1"/>
  <c r="S2" i="2" s="1"/>
  <c r="S18" i="2" s="1"/>
  <c r="O2" i="2"/>
  <c r="O6" i="2"/>
  <c r="P6" i="2" s="1"/>
  <c r="Q6" i="2" s="1"/>
  <c r="R6" i="2" s="1"/>
  <c r="S6" i="2" s="1"/>
  <c r="N6" i="2"/>
  <c r="O5" i="2"/>
  <c r="P5" i="2"/>
  <c r="Q5" i="2"/>
  <c r="R5" i="2" s="1"/>
  <c r="S5" i="2" s="1"/>
  <c r="S22" i="2" s="1"/>
  <c r="N5" i="2"/>
  <c r="N22" i="2" s="1"/>
  <c r="N23" i="2"/>
  <c r="N24" i="2"/>
  <c r="O24" i="2"/>
  <c r="P24" i="2"/>
  <c r="Q24" i="2"/>
  <c r="R24" i="2"/>
  <c r="S24" i="2"/>
  <c r="M24" i="2"/>
  <c r="L24" i="2"/>
  <c r="M22" i="2"/>
  <c r="L22" i="2"/>
  <c r="N7" i="2"/>
  <c r="O7" i="2" s="1"/>
  <c r="P7" i="2" s="1"/>
  <c r="Q7" i="2" s="1"/>
  <c r="R7" i="2" s="1"/>
  <c r="S7" i="2" s="1"/>
  <c r="M23" i="2"/>
  <c r="L23" i="2"/>
  <c r="P6" i="1"/>
  <c r="P5" i="1"/>
  <c r="M27" i="2"/>
  <c r="M28" i="2" s="1"/>
  <c r="L27" i="2"/>
  <c r="L28" i="2" s="1"/>
  <c r="K27" i="2"/>
  <c r="K28" i="2" s="1"/>
  <c r="N18" i="2"/>
  <c r="L18" i="2"/>
  <c r="M18" i="2"/>
  <c r="L8" i="2"/>
  <c r="M8" i="2"/>
  <c r="K8" i="2"/>
  <c r="L4" i="2"/>
  <c r="L20" i="2" s="1"/>
  <c r="M4" i="2"/>
  <c r="M20" i="2" s="1"/>
  <c r="K4" i="2"/>
  <c r="K20" i="2" s="1"/>
  <c r="M34" i="2"/>
  <c r="M32" i="2"/>
  <c r="E34" i="2"/>
  <c r="E32" i="2"/>
  <c r="E30" i="2" s="1"/>
  <c r="J1" i="2"/>
  <c r="K1" i="2" s="1"/>
  <c r="L1" i="2" s="1"/>
  <c r="M1" i="2" s="1"/>
  <c r="N1" i="2" s="1"/>
  <c r="O1" i="2" s="1"/>
  <c r="P1" i="2" s="1"/>
  <c r="Q1" i="2" s="1"/>
  <c r="R1" i="2" s="1"/>
  <c r="S1" i="2" s="1"/>
  <c r="P4" i="1"/>
  <c r="O22" i="2" l="1"/>
  <c r="Q22" i="2"/>
  <c r="R22" i="2"/>
  <c r="P22" i="2"/>
  <c r="S3" i="2"/>
  <c r="S4" i="2" s="1"/>
  <c r="P7" i="1"/>
  <c r="O18" i="2"/>
  <c r="N8" i="2"/>
  <c r="K9" i="2"/>
  <c r="L9" i="2"/>
  <c r="M9" i="2"/>
  <c r="M30" i="2"/>
  <c r="N11" i="2" s="1"/>
  <c r="P18" i="2"/>
  <c r="O3" i="2"/>
  <c r="O4" i="2" s="1"/>
  <c r="N3" i="2"/>
  <c r="N4" i="2" s="1"/>
  <c r="N9" i="2" l="1"/>
  <c r="M12" i="2"/>
  <c r="M21" i="2"/>
  <c r="K12" i="2"/>
  <c r="K21" i="2"/>
  <c r="L12" i="2"/>
  <c r="L21" i="2"/>
  <c r="N12" i="2"/>
  <c r="N21" i="2"/>
  <c r="L14" i="2"/>
  <c r="M14" i="2"/>
  <c r="K14" i="2"/>
  <c r="O8" i="2"/>
  <c r="O9" i="2" s="1"/>
  <c r="P3" i="2"/>
  <c r="P4" i="2" s="1"/>
  <c r="Q18" i="2"/>
  <c r="P23" i="2" l="1"/>
  <c r="O23" i="2"/>
  <c r="N13" i="2"/>
  <c r="N14" i="2" s="1"/>
  <c r="Q23" i="2"/>
  <c r="O21" i="2"/>
  <c r="K16" i="2"/>
  <c r="K29" i="2"/>
  <c r="M16" i="2"/>
  <c r="P8" i="1" s="1"/>
  <c r="M29" i="2"/>
  <c r="L16" i="2"/>
  <c r="L29" i="2"/>
  <c r="P8" i="2"/>
  <c r="P9" i="2" s="1"/>
  <c r="P21" i="2" s="1"/>
  <c r="R18" i="2"/>
  <c r="Q3" i="2"/>
  <c r="Q4" i="2" s="1"/>
  <c r="N16" i="2" l="1"/>
  <c r="N28" i="2"/>
  <c r="N30" i="2"/>
  <c r="O11" i="2" s="1"/>
  <c r="O12" i="2" s="1"/>
  <c r="Q8" i="2"/>
  <c r="Q9" i="2" s="1"/>
  <c r="Q21" i="2" s="1"/>
  <c r="R3" i="2"/>
  <c r="R4" i="2" s="1"/>
  <c r="S23" i="2" l="1"/>
  <c r="R23" i="2"/>
  <c r="S8" i="2"/>
  <c r="S9" i="2" s="1"/>
  <c r="S21" i="2" s="1"/>
  <c r="O13" i="2"/>
  <c r="O14" i="2" s="1"/>
  <c r="R8" i="2"/>
  <c r="R9" i="2" s="1"/>
  <c r="R21" i="2" s="1"/>
  <c r="O16" i="2" l="1"/>
  <c r="O30" i="2"/>
  <c r="P11" i="2" s="1"/>
  <c r="P12" i="2" s="1"/>
  <c r="O28" i="2"/>
  <c r="P13" i="2" l="1"/>
  <c r="P14" i="2" s="1"/>
  <c r="P16" i="2" l="1"/>
  <c r="P30" i="2"/>
  <c r="Q11" i="2" s="1"/>
  <c r="Q12" i="2" s="1"/>
  <c r="P28" i="2"/>
  <c r="Q13" i="2" l="1"/>
  <c r="Q14" i="2" s="1"/>
  <c r="Q16" i="2" l="1"/>
  <c r="Q30" i="2"/>
  <c r="R11" i="2" s="1"/>
  <c r="R12" i="2" s="1"/>
  <c r="Q28" i="2"/>
  <c r="R13" i="2" l="1"/>
  <c r="R14" i="2" s="1"/>
  <c r="R16" i="2" l="1"/>
  <c r="R28" i="2"/>
  <c r="R30" i="2"/>
  <c r="S11" i="2" l="1"/>
  <c r="S12" i="2" s="1"/>
  <c r="S13" i="2" s="1"/>
  <c r="S14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AH28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X28" i="2" s="1"/>
  <c r="CY28" i="2" s="1"/>
  <c r="CZ28" i="2" s="1"/>
  <c r="DA28" i="2" s="1"/>
  <c r="DB28" i="2" s="1"/>
  <c r="DC28" i="2" s="1"/>
  <c r="DD28" i="2" s="1"/>
  <c r="DE28" i="2" s="1"/>
  <c r="DF28" i="2" s="1"/>
  <c r="DG28" i="2" s="1"/>
  <c r="DH28" i="2" s="1"/>
  <c r="DI28" i="2" s="1"/>
  <c r="DJ28" i="2" s="1"/>
  <c r="DK28" i="2" s="1"/>
  <c r="DL28" i="2" s="1"/>
  <c r="DM28" i="2" s="1"/>
  <c r="DN28" i="2" s="1"/>
  <c r="V22" i="2" s="1"/>
  <c r="V23" i="2" s="1"/>
  <c r="V24" i="2" s="1"/>
  <c r="S30" i="2" l="1"/>
  <c r="S16" i="2"/>
  <c r="T14" i="2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X14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</calcChain>
</file>

<file path=xl/sharedStrings.xml><?xml version="1.0" encoding="utf-8"?>
<sst xmlns="http://schemas.openxmlformats.org/spreadsheetml/2006/main" count="48" uniqueCount="40">
  <si>
    <t>Price</t>
  </si>
  <si>
    <t>Shares</t>
  </si>
  <si>
    <t>MC</t>
  </si>
  <si>
    <t>Cash</t>
  </si>
  <si>
    <t>Debt</t>
  </si>
  <si>
    <t>EV</t>
  </si>
  <si>
    <t>Q124</t>
  </si>
  <si>
    <t>Q224</t>
  </si>
  <si>
    <t>Q324</t>
  </si>
  <si>
    <t>Q424</t>
  </si>
  <si>
    <t>Revenue</t>
  </si>
  <si>
    <t>COGS</t>
  </si>
  <si>
    <t>Gross Profit</t>
  </si>
  <si>
    <t>S&amp;M</t>
  </si>
  <si>
    <t>R&amp;D</t>
  </si>
  <si>
    <t>G&amp;A</t>
  </si>
  <si>
    <t>OPEX</t>
  </si>
  <si>
    <t>Operating Income</t>
  </si>
  <si>
    <t>Interest Expense</t>
  </si>
  <si>
    <t>Interest &amp; Other</t>
  </si>
  <si>
    <t>Pretax Income</t>
  </si>
  <si>
    <t>Tax</t>
  </si>
  <si>
    <t>Net Income</t>
  </si>
  <si>
    <t>EPS</t>
  </si>
  <si>
    <t>Revenue Growth</t>
  </si>
  <si>
    <t>Gross Margin</t>
  </si>
  <si>
    <t>CFFO</t>
  </si>
  <si>
    <t>CX</t>
  </si>
  <si>
    <t>FCF</t>
  </si>
  <si>
    <t>Net Cash</t>
  </si>
  <si>
    <t>NPV</t>
  </si>
  <si>
    <t>Discount</t>
  </si>
  <si>
    <t>Maturity</t>
  </si>
  <si>
    <t>Diff</t>
  </si>
  <si>
    <t>ROIC</t>
  </si>
  <si>
    <t>Operating Margin</t>
  </si>
  <si>
    <t>Q125</t>
  </si>
  <si>
    <t>R&amp;D y/y</t>
  </si>
  <si>
    <t>S&amp;M y/y</t>
  </si>
  <si>
    <t>G&amp;A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</si>
</sst>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0" borderId="0" xfId="0" applyNumberFormat="1" applyFont="1"/>
    <xf numFmtId="1" fontId="1" fillId="0" borderId="0" xfId="0" applyNumberFormat="1" applyFont="1"/>
    <xf numFmtId="3" fontId="2" fillId="0" borderId="0" xfId="0" applyNumberFormat="1" applyFont="1"/>
    <xf numFmtId="9" fontId="1" fillId="0" borderId="0" xfId="0" applyNumberFormat="1" applyFont="1"/>
    <xf numFmtId="4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588352</xdr:colOff>
      <xdr:row>0</xdr:row>
      <xdr:rowOff>35902</xdr:rowOff>
    </xdr:from>
    <xdr:to>
      <xdr:col>12</xdr:col>
      <xdr:colOff>597877</xdr:colOff>
      <xdr:row>41</xdr:row>
      <xdr:rowOff>8060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69897C9-C83C-A731-E028-620C89F7F952}"/>
            </a:ext>
          </a:extLst>
        </xdr:cNvPr>
        <xdr:cNvCxnSpPr/>
      </xdr:nvCxnSpPr>
      <xdr:spPr>
        <a:xfrm flipH="1">
          <a:off x="8398852" y="35902"/>
          <a:ext cx="9525" cy="625865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0</xdr:row>
      <xdr:rowOff>19050</xdr:rowOff>
    </xdr:from>
    <xdr:to>
      <xdr:col>5</xdr:col>
      <xdr:colOff>9525</xdr:colOff>
      <xdr:row>40</xdr:row>
      <xdr:rowOff>161925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281F37C-EF7E-42A5-9FF3-19E8625C3390}"/>
            </a:ext>
          </a:extLst>
        </xdr:cNvPr>
        <xdr:cNvCxnSpPr/>
      </xdr:nvCxnSpPr>
      <xdr:spPr>
        <a:xfrm flipH="1">
          <a:off x="3048000" y="19050"/>
          <a:ext cx="9525" cy="70008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4D5C2-B026-4303-AE35-0CC5202B93AC}">
  <dimension ref="A1:Q8"/>
  <sheetViews>
    <sheetView topLeftCell="I1" zoomScale="115" zoomScaleNormal="115" workbookViewId="0">
      <selection activeCell="P8" sqref="P8"/>
    </sheetView>
  </sheetViews>
  <sheetFormatPr defaultRowHeight="12.75" x14ac:dyDescent="0.2"/>
  <cols>
    <col min="1" max="16384" width="9.140625" style="8"/>
  </cols>
  <sheetData>
    <row r="1" spans="1:17" x14ac:dyDescent="0.2">
      <c r="A1" s="7"/>
    </row>
    <row r="2" spans="1:17" x14ac:dyDescent="0.2">
      <c r="O2" s="8" t="s">
        <v>0</v>
      </c>
      <c r="P2" s="5">
        <v>1253</v>
      </c>
    </row>
    <row r="3" spans="1:17" x14ac:dyDescent="0.2">
      <c r="O3" s="8" t="s">
        <v>1</v>
      </c>
      <c r="P3" s="1">
        <v>425.6832</v>
      </c>
      <c r="Q3" s="8" t="s">
        <v>36</v>
      </c>
    </row>
    <row r="4" spans="1:17" x14ac:dyDescent="0.2">
      <c r="O4" s="8" t="s">
        <v>2</v>
      </c>
      <c r="P4" s="1">
        <f>P3*P2</f>
        <v>533381.04960000003</v>
      </c>
    </row>
    <row r="5" spans="1:17" x14ac:dyDescent="0.2">
      <c r="O5" s="8" t="s">
        <v>3</v>
      </c>
      <c r="P5" s="1">
        <f>7119.84+1171.1</f>
        <v>8290.94</v>
      </c>
      <c r="Q5" s="8" t="s">
        <v>36</v>
      </c>
    </row>
    <row r="6" spans="1:17" x14ac:dyDescent="0.2">
      <c r="O6" s="8" t="s">
        <v>4</v>
      </c>
      <c r="P6" s="1">
        <f>14011+2633.3+1697</f>
        <v>18341.3</v>
      </c>
      <c r="Q6" s="8" t="s">
        <v>36</v>
      </c>
    </row>
    <row r="7" spans="1:17" x14ac:dyDescent="0.2">
      <c r="O7" s="8" t="s">
        <v>5</v>
      </c>
      <c r="P7" s="1">
        <f>P4+P6-P5</f>
        <v>543431.40960000013</v>
      </c>
    </row>
    <row r="8" spans="1:17" x14ac:dyDescent="0.2">
      <c r="P8" s="9">
        <f>P2/Model!M16</f>
        <v>61.702174062765444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AC2DB-D73B-4DDE-B84C-DD792E845260}">
  <dimension ref="A1:DN34"/>
  <sheetViews>
    <sheetView tabSelected="1" zoomScale="130" zoomScaleNormal="130"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T14" sqref="T14"/>
    </sheetView>
  </sheetViews>
  <sheetFormatPr defaultRowHeight="12.75" x14ac:dyDescent="0.2"/>
  <cols>
    <col min="1" max="1" width="16.85546875" style="1" customWidth="1"/>
    <col min="2" max="16384" width="9.140625" style="1"/>
  </cols>
  <sheetData>
    <row r="1" spans="1:118" x14ac:dyDescent="0.2">
      <c r="B1" s="1" t="s">
        <v>6</v>
      </c>
      <c r="C1" s="1" t="s">
        <v>7</v>
      </c>
      <c r="D1" s="1" t="s">
        <v>8</v>
      </c>
      <c r="E1" s="1" t="s">
        <v>9</v>
      </c>
      <c r="F1" s="1" t="s">
        <v>6</v>
      </c>
      <c r="G1" s="1" t="s">
        <v>7</v>
      </c>
      <c r="I1" s="2">
        <v>2020</v>
      </c>
      <c r="J1" s="2">
        <f>I1+1</f>
        <v>2021</v>
      </c>
      <c r="K1" s="2">
        <f t="shared" ref="K1:S1" si="0">J1+1</f>
        <v>2022</v>
      </c>
      <c r="L1" s="2">
        <f t="shared" si="0"/>
        <v>2023</v>
      </c>
      <c r="M1" s="2">
        <f t="shared" si="0"/>
        <v>2024</v>
      </c>
      <c r="N1" s="2">
        <f t="shared" si="0"/>
        <v>2025</v>
      </c>
      <c r="O1" s="2">
        <f t="shared" si="0"/>
        <v>2026</v>
      </c>
      <c r="P1" s="2">
        <f t="shared" si="0"/>
        <v>2027</v>
      </c>
      <c r="Q1" s="2">
        <f t="shared" si="0"/>
        <v>2028</v>
      </c>
      <c r="R1" s="2">
        <f t="shared" si="0"/>
        <v>2029</v>
      </c>
      <c r="S1" s="2">
        <f t="shared" si="0"/>
        <v>2030</v>
      </c>
      <c r="T1" s="2"/>
      <c r="U1" s="2"/>
      <c r="V1" s="2"/>
      <c r="W1" s="2"/>
    </row>
    <row r="2" spans="1:118" s="3" customFormat="1" x14ac:dyDescent="0.2">
      <c r="A2" s="3" t="s">
        <v>10</v>
      </c>
      <c r="K2" s="3">
        <v>31615.5</v>
      </c>
      <c r="L2" s="3">
        <v>33723.300000000003</v>
      </c>
      <c r="M2" s="3">
        <v>39000</v>
      </c>
      <c r="N2" s="3">
        <v>46000</v>
      </c>
      <c r="O2" s="3">
        <f>N2*1.16</f>
        <v>53359.999999999993</v>
      </c>
      <c r="P2" s="3">
        <f t="shared" ref="P2:S2" si="1">O2*1.16</f>
        <v>61897.599999999984</v>
      </c>
      <c r="Q2" s="3">
        <f t="shared" si="1"/>
        <v>71801.215999999971</v>
      </c>
      <c r="R2" s="3">
        <f t="shared" si="1"/>
        <v>83289.41055999996</v>
      </c>
      <c r="S2" s="3">
        <f t="shared" si="1"/>
        <v>96615.716249599951</v>
      </c>
    </row>
    <row r="3" spans="1:118" x14ac:dyDescent="0.2">
      <c r="A3" s="1" t="s">
        <v>11</v>
      </c>
      <c r="K3" s="1">
        <v>19168.2</v>
      </c>
      <c r="L3" s="1">
        <v>19715.3</v>
      </c>
      <c r="M3" s="1">
        <v>21038.400000000001</v>
      </c>
      <c r="N3" s="1">
        <f>N2*(1-N20)</f>
        <v>23755.249230769234</v>
      </c>
      <c r="O3" s="1">
        <f>O2*(1-O20)</f>
        <v>26265.893563076919</v>
      </c>
      <c r="P3" s="1">
        <f>P2*(1-P20)</f>
        <v>28896.978359827684</v>
      </c>
      <c r="Q3" s="1">
        <f>Q2*(1-Q20)</f>
        <v>31606.458842270113</v>
      </c>
      <c r="R3" s="1">
        <f>R2*(1-R20)</f>
        <v>34332.196341884992</v>
      </c>
      <c r="S3" s="1">
        <f>S2*(1-S20)</f>
        <v>36985.829331935922</v>
      </c>
    </row>
    <row r="4" spans="1:118" x14ac:dyDescent="0.2">
      <c r="A4" s="1" t="s">
        <v>12</v>
      </c>
      <c r="G4" s="4"/>
      <c r="K4" s="1">
        <f>K2-K3</f>
        <v>12447.3</v>
      </c>
      <c r="L4" s="1">
        <f t="shared" ref="L4:M4" si="2">L2-L3</f>
        <v>14008.000000000004</v>
      </c>
      <c r="M4" s="1">
        <f t="shared" si="2"/>
        <v>17961.599999999999</v>
      </c>
      <c r="N4" s="1">
        <f t="shared" ref="N4" si="3">N2-N3</f>
        <v>22244.750769230766</v>
      </c>
      <c r="O4" s="1">
        <f t="shared" ref="O4" si="4">O2-O3</f>
        <v>27094.106436923073</v>
      </c>
      <c r="P4" s="1">
        <f t="shared" ref="P4" si="5">P2-P3</f>
        <v>33000.6216401723</v>
      </c>
      <c r="Q4" s="1">
        <f t="shared" ref="Q4" si="6">Q2-Q3</f>
        <v>40194.757157729859</v>
      </c>
      <c r="R4" s="1">
        <f t="shared" ref="R4:S4" si="7">R2-R3</f>
        <v>48957.214218114968</v>
      </c>
      <c r="S4" s="1">
        <f t="shared" si="7"/>
        <v>59629.886917664029</v>
      </c>
    </row>
    <row r="5" spans="1:118" x14ac:dyDescent="0.2">
      <c r="A5" s="1" t="s">
        <v>13</v>
      </c>
      <c r="K5" s="1">
        <v>2530.5</v>
      </c>
      <c r="L5" s="1">
        <v>2657.8</v>
      </c>
      <c r="M5" s="1">
        <v>2917.5</v>
      </c>
      <c r="N5" s="1">
        <f>M5*1.1</f>
        <v>3209.2500000000005</v>
      </c>
      <c r="O5" s="1">
        <f t="shared" ref="O5:S5" si="8">N5*1.1</f>
        <v>3530.1750000000006</v>
      </c>
      <c r="P5" s="1">
        <f t="shared" si="8"/>
        <v>3883.192500000001</v>
      </c>
      <c r="Q5" s="1">
        <f t="shared" si="8"/>
        <v>4271.5117500000015</v>
      </c>
      <c r="R5" s="1">
        <f t="shared" si="8"/>
        <v>4698.6629250000024</v>
      </c>
      <c r="S5" s="1">
        <f t="shared" si="8"/>
        <v>5168.5292175000031</v>
      </c>
    </row>
    <row r="6" spans="1:118" x14ac:dyDescent="0.2">
      <c r="A6" s="1" t="s">
        <v>14</v>
      </c>
      <c r="K6" s="1">
        <v>2711</v>
      </c>
      <c r="L6" s="1">
        <v>2675</v>
      </c>
      <c r="M6" s="1">
        <v>2925</v>
      </c>
      <c r="N6" s="1">
        <f>M6*1.1</f>
        <v>3217.5000000000005</v>
      </c>
      <c r="O6" s="1">
        <f t="shared" ref="O6:S6" si="9">N6*1.1</f>
        <v>3539.2500000000009</v>
      </c>
      <c r="P6" s="1">
        <f t="shared" si="9"/>
        <v>3893.1750000000011</v>
      </c>
      <c r="Q6" s="1">
        <f t="shared" si="9"/>
        <v>4282.4925000000012</v>
      </c>
      <c r="R6" s="1">
        <f t="shared" si="9"/>
        <v>4710.741750000002</v>
      </c>
      <c r="S6" s="1">
        <f t="shared" si="9"/>
        <v>5181.8159250000026</v>
      </c>
    </row>
    <row r="7" spans="1:118" x14ac:dyDescent="0.2">
      <c r="A7" s="1" t="s">
        <v>15</v>
      </c>
      <c r="K7" s="1">
        <v>1562</v>
      </c>
      <c r="L7" s="1">
        <v>1720</v>
      </c>
      <c r="M7" s="1">
        <v>1702</v>
      </c>
      <c r="N7" s="1">
        <f>M7*1.09</f>
        <v>1855.18</v>
      </c>
      <c r="O7" s="1">
        <f t="shared" ref="O7:S7" si="10">N7*1.09</f>
        <v>2022.1462000000001</v>
      </c>
      <c r="P7" s="1">
        <f t="shared" si="10"/>
        <v>2204.1393580000004</v>
      </c>
      <c r="Q7" s="1">
        <f t="shared" si="10"/>
        <v>2402.5119002200004</v>
      </c>
      <c r="R7" s="1">
        <f t="shared" si="10"/>
        <v>2618.7379712398006</v>
      </c>
      <c r="S7" s="1">
        <f t="shared" si="10"/>
        <v>2854.4243886513827</v>
      </c>
    </row>
    <row r="8" spans="1:118" x14ac:dyDescent="0.2">
      <c r="A8" s="1" t="s">
        <v>16</v>
      </c>
      <c r="K8" s="1">
        <f>SUM(K5:K7)</f>
        <v>6803.5</v>
      </c>
      <c r="L8" s="1">
        <f t="shared" ref="L8:M8" si="11">SUM(L5:L7)</f>
        <v>7052.8</v>
      </c>
      <c r="M8" s="1">
        <f t="shared" si="11"/>
        <v>7544.5</v>
      </c>
      <c r="N8" s="1">
        <f t="shared" ref="N8" si="12">SUM(N5:N7)</f>
        <v>8281.93</v>
      </c>
      <c r="O8" s="1">
        <f t="shared" ref="O8" si="13">SUM(O5:O7)</f>
        <v>9091.5712000000021</v>
      </c>
      <c r="P8" s="1">
        <f t="shared" ref="P8" si="14">SUM(P5:P7)</f>
        <v>9980.5068580000025</v>
      </c>
      <c r="Q8" s="1">
        <f t="shared" ref="Q8" si="15">SUM(Q5:Q7)</f>
        <v>10956.516150220003</v>
      </c>
      <c r="R8" s="1">
        <f t="shared" ref="R8:S8" si="16">SUM(R5:R7)</f>
        <v>12028.142646239805</v>
      </c>
      <c r="S8" s="1">
        <f t="shared" si="16"/>
        <v>13204.769531151389</v>
      </c>
    </row>
    <row r="9" spans="1:118" x14ac:dyDescent="0.2">
      <c r="A9" s="1" t="s">
        <v>17</v>
      </c>
      <c r="K9" s="1">
        <f>K4-K8</f>
        <v>5643.7999999999993</v>
      </c>
      <c r="L9" s="1">
        <f t="shared" ref="L9:M9" si="17">L4-L8</f>
        <v>6955.2000000000035</v>
      </c>
      <c r="M9" s="1">
        <f t="shared" si="17"/>
        <v>10417.099999999999</v>
      </c>
      <c r="N9" s="1">
        <f t="shared" ref="N9" si="18">N4-N8</f>
        <v>13962.820769230766</v>
      </c>
      <c r="O9" s="1">
        <f t="shared" ref="O9" si="19">O4-O8</f>
        <v>18002.535236923071</v>
      </c>
      <c r="P9" s="1">
        <f t="shared" ref="P9" si="20">P4-P8</f>
        <v>23020.114782172299</v>
      </c>
      <c r="Q9" s="1">
        <f t="shared" ref="Q9" si="21">Q4-Q8</f>
        <v>29238.241007509856</v>
      </c>
      <c r="R9" s="1">
        <f t="shared" ref="R9:S9" si="22">R4-R8</f>
        <v>36929.07157187516</v>
      </c>
      <c r="S9" s="1">
        <f t="shared" si="22"/>
        <v>46425.11738651264</v>
      </c>
    </row>
    <row r="10" spans="1:118" x14ac:dyDescent="0.2">
      <c r="A10" s="1" t="s">
        <v>18</v>
      </c>
      <c r="K10" s="1">
        <v>-706</v>
      </c>
      <c r="L10" s="1">
        <v>-699</v>
      </c>
      <c r="M10" s="1">
        <v>-718</v>
      </c>
    </row>
    <row r="11" spans="1:118" x14ac:dyDescent="0.2">
      <c r="A11" s="1" t="s">
        <v>19</v>
      </c>
      <c r="K11" s="1">
        <v>337</v>
      </c>
      <c r="L11" s="1">
        <v>-48</v>
      </c>
      <c r="M11" s="1">
        <v>266.7</v>
      </c>
      <c r="N11" s="1">
        <f>M30*$V$19</f>
        <v>-170.95199999999997</v>
      </c>
      <c r="O11" s="1">
        <f>N30*$V$19</f>
        <v>49.71790030769229</v>
      </c>
      <c r="P11" s="1">
        <f>O30*$V$19</f>
        <v>338.55395050338456</v>
      </c>
      <c r="Q11" s="1">
        <f>P30*$V$19</f>
        <v>712.29265022619541</v>
      </c>
      <c r="R11" s="1">
        <f>Q30*$V$19</f>
        <v>1191.5011887499722</v>
      </c>
      <c r="S11" s="1">
        <f>R30*$V$19</f>
        <v>1801.4303529199742</v>
      </c>
    </row>
    <row r="12" spans="1:118" x14ac:dyDescent="0.2">
      <c r="A12" s="1" t="s">
        <v>20</v>
      </c>
      <c r="K12" s="1">
        <f>K9+SUM(K10:K11)</f>
        <v>5274.7999999999993</v>
      </c>
      <c r="L12" s="1">
        <f t="shared" ref="L12:M12" si="23">L9+SUM(L10:L11)</f>
        <v>6208.2000000000035</v>
      </c>
      <c r="M12" s="1">
        <f t="shared" si="23"/>
        <v>9965.7999999999993</v>
      </c>
      <c r="N12" s="1">
        <f t="shared" ref="N12" si="24">N9+SUM(N10:N11)</f>
        <v>13791.868769230767</v>
      </c>
      <c r="O12" s="1">
        <f t="shared" ref="O12" si="25">O9+SUM(O10:O11)</f>
        <v>18052.253137230764</v>
      </c>
      <c r="P12" s="1">
        <f t="shared" ref="P12" si="26">P9+SUM(P10:P11)</f>
        <v>23358.668732675684</v>
      </c>
      <c r="Q12" s="1">
        <f t="shared" ref="Q12" si="27">Q9+SUM(Q10:Q11)</f>
        <v>29950.53365773605</v>
      </c>
      <c r="R12" s="1">
        <f t="shared" ref="R12:S12" si="28">R9+SUM(R10:R11)</f>
        <v>38120.572760625131</v>
      </c>
      <c r="S12" s="1">
        <f t="shared" si="28"/>
        <v>48226.547739432615</v>
      </c>
    </row>
    <row r="13" spans="1:118" x14ac:dyDescent="0.2">
      <c r="A13" s="1" t="s">
        <v>21</v>
      </c>
      <c r="K13" s="1">
        <v>772</v>
      </c>
      <c r="L13" s="1">
        <v>797.4</v>
      </c>
      <c r="M13" s="1">
        <v>1254</v>
      </c>
      <c r="N13" s="1">
        <f>N12*0.2</f>
        <v>2758.3737538461537</v>
      </c>
      <c r="O13" s="1">
        <f t="shared" ref="O13:S13" si="29">O12*0.2</f>
        <v>3610.4506274461528</v>
      </c>
      <c r="P13" s="1">
        <f t="shared" si="29"/>
        <v>4671.7337465351366</v>
      </c>
      <c r="Q13" s="1">
        <f t="shared" si="29"/>
        <v>5990.1067315472101</v>
      </c>
      <c r="R13" s="1">
        <f t="shared" si="29"/>
        <v>7624.1145521250264</v>
      </c>
      <c r="S13" s="1">
        <f t="shared" si="29"/>
        <v>9645.3095478865234</v>
      </c>
    </row>
    <row r="14" spans="1:118" s="3" customFormat="1" x14ac:dyDescent="0.2">
      <c r="A14" s="3" t="s">
        <v>22</v>
      </c>
      <c r="K14" s="3">
        <f>K12-K13</f>
        <v>4502.7999999999993</v>
      </c>
      <c r="L14" s="3">
        <f t="shared" ref="L14:M14" si="30">L12-L13</f>
        <v>5410.8000000000038</v>
      </c>
      <c r="M14" s="3">
        <f t="shared" si="30"/>
        <v>8711.7999999999993</v>
      </c>
      <c r="N14" s="3">
        <f t="shared" ref="N14" si="31">N12-N13</f>
        <v>11033.495015384613</v>
      </c>
      <c r="O14" s="3">
        <f t="shared" ref="O14" si="32">O12-O13</f>
        <v>14441.802509784611</v>
      </c>
      <c r="P14" s="3">
        <f t="shared" ref="P14" si="33">P12-P13</f>
        <v>18686.934986140546</v>
      </c>
      <c r="Q14" s="3">
        <f t="shared" ref="Q14" si="34">Q12-Q13</f>
        <v>23960.42692618884</v>
      </c>
      <c r="R14" s="3">
        <f t="shared" ref="R14:S14" si="35">R12-R13</f>
        <v>30496.458208500106</v>
      </c>
      <c r="S14" s="3">
        <f t="shared" si="35"/>
        <v>38581.238191546094</v>
      </c>
      <c r="T14" s="3">
        <f>S14*(1+$V$20)</f>
        <v>38967.050573461558</v>
      </c>
      <c r="U14" s="3">
        <f>T14*(1+$V$20)</f>
        <v>39356.721079196177</v>
      </c>
      <c r="V14" s="3">
        <f>U14*(1+$V$20)</f>
        <v>39750.288289988137</v>
      </c>
      <c r="W14" s="3">
        <f>V14*(1+$V$20)</f>
        <v>40147.791172888021</v>
      </c>
      <c r="X14" s="3">
        <f>W14*(1+$V$20)</f>
        <v>40549.269084616899</v>
      </c>
      <c r="Y14" s="3">
        <f>X14*(1+$V$20)</f>
        <v>40954.76177546307</v>
      </c>
      <c r="Z14" s="3">
        <f>Y14*(1+$V$20)</f>
        <v>41364.3093932177</v>
      </c>
      <c r="AA14" s="3">
        <f>Z14*(1+$V$20)</f>
        <v>41777.95248714988</v>
      </c>
      <c r="AB14" s="3">
        <f>AA14*(1+$V$20)</f>
        <v>42195.732012021377</v>
      </c>
      <c r="AC14" s="3">
        <f>AB14*(1+$V$20)</f>
        <v>42617.689332141592</v>
      </c>
      <c r="AD14" s="3">
        <f>AC14*(1+$V$20)</f>
        <v>43043.866225463011</v>
      </c>
      <c r="AE14" s="3">
        <f>AD14*(1+$V$20)</f>
        <v>43474.304887717641</v>
      </c>
      <c r="AF14" s="3">
        <f>AE14*(1+$V$20)</f>
        <v>43909.047936594819</v>
      </c>
      <c r="AG14" s="3">
        <f>AF14*(1+$V$20)</f>
        <v>44348.13841596077</v>
      </c>
      <c r="AH14" s="3">
        <f>AG14*(1+$V$20)</f>
        <v>44791.619800120381</v>
      </c>
      <c r="AI14" s="3">
        <f>AH14*(1+$V$20)</f>
        <v>45239.535998121588</v>
      </c>
      <c r="AJ14" s="3">
        <f>AI14*(1+$V$20)</f>
        <v>45691.931358102804</v>
      </c>
      <c r="AK14" s="3">
        <f>AJ14*(1+$V$20)</f>
        <v>46148.850671683831</v>
      </c>
      <c r="AL14" s="3">
        <f>AK14*(1+$V$20)</f>
        <v>46610.339178400667</v>
      </c>
      <c r="AM14" s="3">
        <f>AL14*(1+$V$20)</f>
        <v>47076.442570184678</v>
      </c>
      <c r="AN14" s="3">
        <f>AM14*(1+$V$20)</f>
        <v>47547.206995886525</v>
      </c>
      <c r="AO14" s="3">
        <f>AN14*(1+$V$20)</f>
        <v>48022.67906584539</v>
      </c>
      <c r="AP14" s="3">
        <f>AO14*(1+$V$20)</f>
        <v>48502.905856503843</v>
      </c>
      <c r="AQ14" s="3">
        <f>AP14*(1+$V$20)</f>
        <v>48987.934915068879</v>
      </c>
      <c r="AR14" s="3">
        <f>AQ14*(1+$V$20)</f>
        <v>49477.814264219567</v>
      </c>
      <c r="AS14" s="3">
        <f>AR14*(1+$V$20)</f>
        <v>49972.592406861761</v>
      </c>
      <c r="AT14" s="3">
        <f>AS14*(1+$V$20)</f>
        <v>50472.318330930379</v>
      </c>
      <c r="AU14" s="3">
        <f>AT14*(1+$V$20)</f>
        <v>50977.041514239681</v>
      </c>
      <c r="AV14" s="3">
        <f>AU14*(1+$V$20)</f>
        <v>51486.811929382078</v>
      </c>
      <c r="AW14" s="3">
        <f>AV14*(1+$V$20)</f>
        <v>52001.680048675902</v>
      </c>
      <c r="AX14" s="3">
        <f>AW14*(1+$V$20)</f>
        <v>52521.696849162661</v>
      </c>
      <c r="AY14" s="3">
        <f>AX14*(1+$V$20)</f>
        <v>53046.913817654291</v>
      </c>
      <c r="AZ14" s="3">
        <f>AY14*(1+$V$20)</f>
        <v>53577.382955830835</v>
      </c>
      <c r="BA14" s="3">
        <f>AZ14*(1+$V$20)</f>
        <v>54113.156785389147</v>
      </c>
      <c r="BB14" s="3">
        <f>BA14*(1+$V$20)</f>
        <v>54654.288353243035</v>
      </c>
      <c r="BC14" s="3">
        <f>BB14*(1+$V$20)</f>
        <v>55200.831236775462</v>
      </c>
      <c r="BD14" s="3">
        <f>BC14*(1+$V$20)</f>
        <v>55752.839549143217</v>
      </c>
      <c r="BE14" s="3">
        <f>BD14*(1+$V$20)</f>
        <v>56310.36794463465</v>
      </c>
      <c r="BF14" s="3">
        <f>BE14*(1+$V$20)</f>
        <v>56873.471624080994</v>
      </c>
      <c r="BG14" s="3">
        <f>BF14*(1+$V$20)</f>
        <v>57442.206340321805</v>
      </c>
      <c r="BH14" s="3">
        <f>BG14*(1+$V$20)</f>
        <v>58016.628403725023</v>
      </c>
      <c r="BI14" s="3">
        <f>BH14*(1+$V$20)</f>
        <v>58596.794687762274</v>
      </c>
      <c r="BJ14" s="3">
        <f>BI14*(1+$V$20)</f>
        <v>59182.762634639897</v>
      </c>
      <c r="BK14" s="3">
        <f>BJ14*(1+$V$20)</f>
        <v>59774.590260986297</v>
      </c>
      <c r="BL14" s="3">
        <f>BK14*(1+$V$20)</f>
        <v>60372.336163596163</v>
      </c>
      <c r="BM14" s="3">
        <f>BL14*(1+$V$20)</f>
        <v>60976.059525232122</v>
      </c>
      <c r="BN14" s="3">
        <f>BM14*(1+$V$20)</f>
        <v>61585.820120484444</v>
      </c>
      <c r="BO14" s="3">
        <f>BN14*(1+$V$20)</f>
        <v>62201.678321689287</v>
      </c>
      <c r="BP14" s="3">
        <f>BO14*(1+$V$20)</f>
        <v>62823.695104906183</v>
      </c>
      <c r="BQ14" s="3">
        <f>BP14*(1+$V$20)</f>
        <v>63451.932055955243</v>
      </c>
      <c r="BR14" s="3">
        <f>BQ14*(1+$V$20)</f>
        <v>64086.451376514793</v>
      </c>
      <c r="BS14" s="3">
        <f>BR14*(1+$V$20)</f>
        <v>64727.315890279941</v>
      </c>
      <c r="BT14" s="3">
        <f>BS14*(1+$V$20)</f>
        <v>65374.589049182738</v>
      </c>
      <c r="BU14" s="3">
        <f>BT14*(1+$V$20)</f>
        <v>66028.334939674562</v>
      </c>
      <c r="BV14" s="3">
        <f>BU14*(1+$V$20)</f>
        <v>66688.61828907131</v>
      </c>
      <c r="BW14" s="3">
        <f>BV14*(1+$V$20)</f>
        <v>67355.50447196202</v>
      </c>
      <c r="BX14" s="3">
        <f>BW14*(1+$V$20)</f>
        <v>68029.059516681635</v>
      </c>
      <c r="BY14" s="3">
        <f>BX14*(1+$V$20)</f>
        <v>68709.350111848456</v>
      </c>
      <c r="BZ14" s="3">
        <f>BY14*(1+$V$20)</f>
        <v>69396.443612966948</v>
      </c>
      <c r="CA14" s="3">
        <f>BZ14*(1+$V$20)</f>
        <v>70090.408049096615</v>
      </c>
      <c r="CB14" s="3">
        <f>CA14*(1+$V$20)</f>
        <v>70791.312129587575</v>
      </c>
      <c r="CC14" s="3">
        <f>CB14*(1+$V$20)</f>
        <v>71499.22525088345</v>
      </c>
      <c r="CD14" s="3">
        <f>CC14*(1+$V$20)</f>
        <v>72214.217503392283</v>
      </c>
      <c r="CE14" s="3">
        <f>CD14*(1+$V$20)</f>
        <v>72936.359678426204</v>
      </c>
      <c r="CF14" s="3">
        <f>CE14*(1+$V$20)</f>
        <v>73665.723275210461</v>
      </c>
      <c r="CG14" s="3">
        <f>CF14*(1+$V$20)</f>
        <v>74402.38050796256</v>
      </c>
      <c r="CH14" s="3">
        <f>CG14*(1+$V$20)</f>
        <v>75146.404313042192</v>
      </c>
      <c r="CI14" s="3">
        <f>CH14*(1+$V$20)</f>
        <v>75897.868356172621</v>
      </c>
      <c r="CJ14" s="3">
        <f>CI14*(1+$V$20)</f>
        <v>76656.847039734348</v>
      </c>
      <c r="CK14" s="3">
        <f>CJ14*(1+$V$20)</f>
        <v>77423.415510131686</v>
      </c>
      <c r="CL14" s="3">
        <f>CK14*(1+$V$20)</f>
        <v>78197.64966523301</v>
      </c>
      <c r="CM14" s="3">
        <f>CL14*(1+$V$20)</f>
        <v>78979.626161885346</v>
      </c>
      <c r="CN14" s="3">
        <f>CM14*(1+$V$20)</f>
        <v>79769.422423504206</v>
      </c>
      <c r="CO14" s="3">
        <f>CN14*(1+$V$20)</f>
        <v>80567.116647739254</v>
      </c>
      <c r="CP14" s="3">
        <f>CO14*(1+$V$20)</f>
        <v>81372.787814216645</v>
      </c>
      <c r="CQ14" s="3">
        <f>CP14*(1+$V$20)</f>
        <v>82186.515692358807</v>
      </c>
      <c r="CR14" s="3">
        <f>CQ14*(1+$V$20)</f>
        <v>83008.380849282403</v>
      </c>
      <c r="CS14" s="3">
        <f>CR14*(1+$V$20)</f>
        <v>83838.464657775228</v>
      </c>
      <c r="CT14" s="3">
        <f>CS14*(1+$V$20)</f>
        <v>84676.849304352974</v>
      </c>
      <c r="CU14" s="3">
        <f>CT14*(1+$V$20)</f>
        <v>85523.61779739651</v>
      </c>
      <c r="CV14" s="3">
        <f>CU14*(1+$V$20)</f>
        <v>86378.853975370483</v>
      </c>
      <c r="CW14" s="3">
        <f>CV14*(1+$V$20)</f>
        <v>87242.642515124186</v>
      </c>
      <c r="CX14" s="3">
        <f>CW14*(1+$V$20)</f>
        <v>88115.068940275421</v>
      </c>
      <c r="CY14" s="3">
        <f>CX14*(1+$V$20)</f>
        <v>88996.219629678177</v>
      </c>
      <c r="CZ14" s="3">
        <f>CY14*(1+$V$20)</f>
        <v>89886.181825974956</v>
      </c>
      <c r="DA14" s="3">
        <f>CZ14*(1+$V$20)</f>
        <v>90785.043644234713</v>
      </c>
      <c r="DB14" s="3">
        <f>DA14*(1+$V$20)</f>
        <v>91692.894080677055</v>
      </c>
      <c r="DC14" s="3">
        <f>DB14*(1+$V$20)</f>
        <v>92609.823021483826</v>
      </c>
      <c r="DD14" s="3">
        <f>DC14*(1+$V$20)</f>
        <v>93535.921251698659</v>
      </c>
      <c r="DE14" s="3">
        <f>DD14*(1+$V$20)</f>
        <v>94471.280464215641</v>
      </c>
      <c r="DF14" s="3">
        <f>DE14*(1+$V$20)</f>
        <v>95415.993268857797</v>
      </c>
      <c r="DG14" s="3">
        <f>DF14*(1+$V$20)</f>
        <v>96370.153201546374</v>
      </c>
      <c r="DH14" s="3">
        <f>DG14*(1+$V$20)</f>
        <v>97333.854733561835</v>
      </c>
      <c r="DI14" s="3">
        <f>DH14*(1+$V$20)</f>
        <v>98307.193280897452</v>
      </c>
      <c r="DJ14" s="3">
        <f>DI14*(1+$V$20)</f>
        <v>99290.265213706429</v>
      </c>
      <c r="DK14" s="3">
        <f>DJ14*(1+$V$20)</f>
        <v>100283.1678658435</v>
      </c>
      <c r="DL14" s="3">
        <f>DK14*(1+$V$20)</f>
        <v>101285.99954450193</v>
      </c>
      <c r="DM14" s="3">
        <f>DL14*(1+$V$20)</f>
        <v>102298.85953994695</v>
      </c>
      <c r="DN14" s="3">
        <f>DM14*(1+$V$20)</f>
        <v>103321.84813534642</v>
      </c>
    </row>
    <row r="15" spans="1:118" x14ac:dyDescent="0.2">
      <c r="A15" s="1" t="s">
        <v>1</v>
      </c>
      <c r="E15" s="1">
        <v>427.75709999999998</v>
      </c>
      <c r="K15" s="1">
        <v>444</v>
      </c>
      <c r="L15" s="1">
        <v>441</v>
      </c>
      <c r="M15" s="1">
        <v>429</v>
      </c>
      <c r="N15" s="1">
        <v>429</v>
      </c>
      <c r="O15" s="1">
        <v>429</v>
      </c>
      <c r="P15" s="1">
        <v>429</v>
      </c>
      <c r="Q15" s="1">
        <v>429</v>
      </c>
      <c r="R15" s="1">
        <v>429</v>
      </c>
      <c r="S15" s="1">
        <v>429</v>
      </c>
    </row>
    <row r="16" spans="1:118" x14ac:dyDescent="0.2">
      <c r="A16" s="1" t="s">
        <v>23</v>
      </c>
      <c r="K16" s="5">
        <f>K14/K15</f>
        <v>10.14144144144144</v>
      </c>
      <c r="L16" s="5">
        <f t="shared" ref="L16:R16" si="36">L14/L15</f>
        <v>12.26938775510205</v>
      </c>
      <c r="M16" s="5">
        <f t="shared" si="36"/>
        <v>20.307226107226107</v>
      </c>
      <c r="N16" s="5">
        <f t="shared" si="36"/>
        <v>25.719102599964131</v>
      </c>
      <c r="O16" s="5">
        <f t="shared" si="36"/>
        <v>33.663875314183244</v>
      </c>
      <c r="P16" s="5">
        <f t="shared" si="36"/>
        <v>43.559289011982628</v>
      </c>
      <c r="Q16" s="5">
        <f t="shared" si="36"/>
        <v>55.851811016757203</v>
      </c>
      <c r="R16" s="5">
        <f t="shared" si="36"/>
        <v>71.087315171328925</v>
      </c>
      <c r="S16" s="5">
        <f t="shared" ref="S16" si="37">S14/S15</f>
        <v>89.932956157450107</v>
      </c>
    </row>
    <row r="18" spans="1:118" x14ac:dyDescent="0.2">
      <c r="A18" s="1" t="s">
        <v>24</v>
      </c>
      <c r="L18" s="4">
        <f>L2/K2-1</f>
        <v>6.6669829672154624E-2</v>
      </c>
      <c r="M18" s="4">
        <f>M2/L2-1</f>
        <v>0.15647045217994671</v>
      </c>
      <c r="N18" s="4">
        <f t="shared" ref="N18:S18" si="38">N2/M2-1</f>
        <v>0.17948717948717952</v>
      </c>
      <c r="O18" s="4">
        <f t="shared" si="38"/>
        <v>0.15999999999999992</v>
      </c>
      <c r="P18" s="4">
        <f t="shared" si="38"/>
        <v>0.15999999999999992</v>
      </c>
      <c r="Q18" s="4">
        <f t="shared" si="38"/>
        <v>0.15999999999999992</v>
      </c>
      <c r="R18" s="4">
        <f t="shared" si="38"/>
        <v>0.15999999999999992</v>
      </c>
      <c r="S18" s="4">
        <f t="shared" si="38"/>
        <v>0.15999999999999992</v>
      </c>
    </row>
    <row r="19" spans="1:118" x14ac:dyDescent="0.2">
      <c r="L19" s="4"/>
      <c r="M19" s="4"/>
      <c r="N19" s="4"/>
      <c r="O19" s="4"/>
      <c r="P19" s="4"/>
      <c r="Q19" s="4"/>
      <c r="R19" s="4"/>
      <c r="S19" s="4"/>
      <c r="U19" s="1" t="s">
        <v>34</v>
      </c>
      <c r="V19" s="6">
        <v>0.02</v>
      </c>
    </row>
    <row r="20" spans="1:118" x14ac:dyDescent="0.2">
      <c r="A20" s="1" t="s">
        <v>25</v>
      </c>
      <c r="K20" s="4">
        <f>K4/K2</f>
        <v>0.39370878208473692</v>
      </c>
      <c r="L20" s="4">
        <f>L4/L2</f>
        <v>0.415380463952223</v>
      </c>
      <c r="M20" s="4">
        <f>M4/M2</f>
        <v>0.46055384615384609</v>
      </c>
      <c r="N20" s="4">
        <f>M20*1.05</f>
        <v>0.4835815384615384</v>
      </c>
      <c r="O20" s="4">
        <f t="shared" ref="O20:S20" si="39">N20*1.05</f>
        <v>0.50776061538461537</v>
      </c>
      <c r="P20" s="4">
        <f t="shared" si="39"/>
        <v>0.53314864615384616</v>
      </c>
      <c r="Q20" s="4">
        <f t="shared" si="39"/>
        <v>0.55980607846153851</v>
      </c>
      <c r="R20" s="4">
        <f t="shared" si="39"/>
        <v>0.58779638238461551</v>
      </c>
      <c r="S20" s="4">
        <f t="shared" si="39"/>
        <v>0.61718620150384629</v>
      </c>
      <c r="U20" s="1" t="s">
        <v>32</v>
      </c>
      <c r="V20" s="6">
        <v>0.01</v>
      </c>
    </row>
    <row r="21" spans="1:118" x14ac:dyDescent="0.2">
      <c r="A21" s="1" t="s">
        <v>35</v>
      </c>
      <c r="K21" s="4">
        <f>K9/K2</f>
        <v>0.17851370372127592</v>
      </c>
      <c r="L21" s="4">
        <f>L9/L2</f>
        <v>0.20624316125646075</v>
      </c>
      <c r="M21" s="4">
        <f>M9/M2</f>
        <v>0.26710512820512816</v>
      </c>
      <c r="N21" s="4">
        <f>N9/N2</f>
        <v>0.30353958193979924</v>
      </c>
      <c r="O21" s="4">
        <f>O9/O2</f>
        <v>0.33737884626917303</v>
      </c>
      <c r="P21" s="4">
        <f>P9/P2</f>
        <v>0.37190641934699092</v>
      </c>
      <c r="Q21" s="4">
        <f>Q9/Q2</f>
        <v>0.40721094483288234</v>
      </c>
      <c r="R21" s="4">
        <f>R9/R2</f>
        <v>0.44338255395951237</v>
      </c>
      <c r="S21" s="4">
        <f>S9/S2</f>
        <v>0.4805131006489316</v>
      </c>
      <c r="U21" s="1" t="s">
        <v>31</v>
      </c>
      <c r="V21" s="6">
        <v>0.08</v>
      </c>
    </row>
    <row r="22" spans="1:118" x14ac:dyDescent="0.2">
      <c r="A22" s="1" t="s">
        <v>38</v>
      </c>
      <c r="K22" s="4"/>
      <c r="L22" s="4">
        <f>L5/K5-1</f>
        <v>5.0306263584271926E-2</v>
      </c>
      <c r="M22" s="4">
        <f>M5/L5-1</f>
        <v>9.771239370908269E-2</v>
      </c>
      <c r="N22" s="4">
        <f t="shared" ref="N22:S22" si="40">N5/M5-1</f>
        <v>0.10000000000000009</v>
      </c>
      <c r="O22" s="4">
        <f t="shared" si="40"/>
        <v>0.10000000000000009</v>
      </c>
      <c r="P22" s="4">
        <f t="shared" si="40"/>
        <v>0.10000000000000009</v>
      </c>
      <c r="Q22" s="4">
        <f t="shared" si="40"/>
        <v>0.10000000000000009</v>
      </c>
      <c r="R22" s="4">
        <f t="shared" si="40"/>
        <v>0.10000000000000009</v>
      </c>
      <c r="S22" s="4">
        <f t="shared" si="40"/>
        <v>0.10000000000000009</v>
      </c>
      <c r="U22" s="1" t="s">
        <v>30</v>
      </c>
      <c r="V22" s="1">
        <f>NPV(V21,N28:XFD28)+Main!P5-Main!P6</f>
        <v>530487.70433187962</v>
      </c>
    </row>
    <row r="23" spans="1:118" x14ac:dyDescent="0.2">
      <c r="A23" s="1" t="s">
        <v>37</v>
      </c>
      <c r="K23" s="4"/>
      <c r="L23" s="4">
        <f>L6/K6-1</f>
        <v>-1.3279232755440851E-2</v>
      </c>
      <c r="M23" s="4">
        <f>M6/L6-1</f>
        <v>9.3457943925233655E-2</v>
      </c>
      <c r="N23" s="4">
        <f t="shared" ref="N23:S23" si="41">N6/M6-1</f>
        <v>0.10000000000000009</v>
      </c>
      <c r="O23" s="4">
        <f t="shared" si="41"/>
        <v>0.10000000000000009</v>
      </c>
      <c r="P23" s="4">
        <f t="shared" si="41"/>
        <v>0.10000000000000009</v>
      </c>
      <c r="Q23" s="4">
        <f t="shared" si="41"/>
        <v>0.10000000000000009</v>
      </c>
      <c r="R23" s="4">
        <f t="shared" si="41"/>
        <v>0.10000000000000009</v>
      </c>
      <c r="S23" s="4">
        <f t="shared" si="41"/>
        <v>0.10000000000000009</v>
      </c>
      <c r="U23" s="1" t="s">
        <v>0</v>
      </c>
      <c r="V23" s="5">
        <f>V22/Main!P3</f>
        <v>1246.2030550697787</v>
      </c>
    </row>
    <row r="24" spans="1:118" x14ac:dyDescent="0.2">
      <c r="A24" s="1" t="s">
        <v>39</v>
      </c>
      <c r="K24" s="4"/>
      <c r="L24" s="4">
        <f>L7/K7-1</f>
        <v>0.10115236875800249</v>
      </c>
      <c r="M24" s="4">
        <f>M7/L7-1</f>
        <v>-1.0465116279069764E-2</v>
      </c>
      <c r="N24" s="4">
        <f t="shared" ref="N24:S24" si="42">N7/M7-1</f>
        <v>9.000000000000008E-2</v>
      </c>
      <c r="O24" s="4">
        <f t="shared" si="42"/>
        <v>9.000000000000008E-2</v>
      </c>
      <c r="P24" s="4">
        <f t="shared" si="42"/>
        <v>9.000000000000008E-2</v>
      </c>
      <c r="Q24" s="4">
        <f t="shared" si="42"/>
        <v>9.000000000000008E-2</v>
      </c>
      <c r="R24" s="4">
        <f t="shared" si="42"/>
        <v>9.000000000000008E-2</v>
      </c>
      <c r="S24" s="4">
        <f t="shared" si="42"/>
        <v>9.000000000000008E-2</v>
      </c>
      <c r="U24" s="1" t="s">
        <v>33</v>
      </c>
      <c r="V24" s="4">
        <f>V23/Main!P2-1</f>
        <v>-5.4245370552444827E-3</v>
      </c>
    </row>
    <row r="25" spans="1:118" x14ac:dyDescent="0.2">
      <c r="L25" s="4"/>
      <c r="M25" s="4"/>
    </row>
    <row r="26" spans="1:118" x14ac:dyDescent="0.2">
      <c r="A26" s="1" t="s">
        <v>26</v>
      </c>
      <c r="K26" s="1">
        <v>2026</v>
      </c>
      <c r="L26" s="1">
        <v>7274</v>
      </c>
      <c r="M26" s="1">
        <v>7361</v>
      </c>
    </row>
    <row r="27" spans="1:118" x14ac:dyDescent="0.2">
      <c r="A27" s="1" t="s">
        <v>27</v>
      </c>
      <c r="K27" s="1">
        <f>407+911</f>
        <v>1318</v>
      </c>
      <c r="L27" s="1">
        <f>348+504</f>
        <v>852</v>
      </c>
      <c r="M27" s="1">
        <f>439+1742</f>
        <v>2181</v>
      </c>
    </row>
    <row r="28" spans="1:118" s="3" customFormat="1" x14ac:dyDescent="0.2">
      <c r="A28" s="3" t="s">
        <v>28</v>
      </c>
      <c r="K28" s="3">
        <f>K26-K27</f>
        <v>708</v>
      </c>
      <c r="L28" s="3">
        <f t="shared" ref="L28:M28" si="43">L26-L27</f>
        <v>6422</v>
      </c>
      <c r="M28" s="3">
        <f t="shared" si="43"/>
        <v>5180</v>
      </c>
      <c r="N28" s="3">
        <f>N29*N14</f>
        <v>13240.194018461536</v>
      </c>
      <c r="O28" s="3">
        <f>O29*O14</f>
        <v>17330.163011741533</v>
      </c>
      <c r="P28" s="3">
        <f>P29*P14</f>
        <v>22424.321983368656</v>
      </c>
      <c r="Q28" s="3">
        <f>Q29*Q14</f>
        <v>28752.512311426606</v>
      </c>
      <c r="R28" s="3">
        <f>R29*R14</f>
        <v>36595.749850200125</v>
      </c>
      <c r="S28" s="3">
        <f>S29*S14</f>
        <v>46297.485829855308</v>
      </c>
      <c r="T28" s="3">
        <f>S28*(1+$V$20)</f>
        <v>46760.460688153864</v>
      </c>
      <c r="U28" s="3">
        <f>T28*(1+$V$20)</f>
        <v>47228.065295035405</v>
      </c>
      <c r="V28" s="3">
        <f>U28*(1+$V$20)</f>
        <v>47700.345947985763</v>
      </c>
      <c r="W28" s="3">
        <f>V28*(1+$V$20)</f>
        <v>48177.349407465619</v>
      </c>
      <c r="X28" s="3">
        <f>W28*(1+$V$20)</f>
        <v>48659.122901540279</v>
      </c>
      <c r="Y28" s="3">
        <f>X28*(1+$V$20)</f>
        <v>49145.71413055568</v>
      </c>
      <c r="Z28" s="3">
        <f>Y28*(1+$V$20)</f>
        <v>49637.17127186124</v>
      </c>
      <c r="AA28" s="3">
        <f>Z28*(1+$V$20)</f>
        <v>50133.54298457985</v>
      </c>
      <c r="AB28" s="3">
        <f>AA28*(1+$V$20)</f>
        <v>50634.87841442565</v>
      </c>
      <c r="AC28" s="3">
        <f>AB28*(1+$V$20)</f>
        <v>51141.227198569904</v>
      </c>
      <c r="AD28" s="3">
        <f>AC28*(1+$V$20)</f>
        <v>51652.639470555601</v>
      </c>
      <c r="AE28" s="3">
        <f>AD28*(1+$V$20)</f>
        <v>52169.165865261159</v>
      </c>
      <c r="AF28" s="3">
        <f>AE28*(1+$V$20)</f>
        <v>52690.857523913772</v>
      </c>
      <c r="AG28" s="3">
        <f>AF28*(1+$V$20)</f>
        <v>53217.766099152912</v>
      </c>
      <c r="AH28" s="3">
        <f>AG28*(1+$V$20)</f>
        <v>53749.943760144444</v>
      </c>
      <c r="AI28" s="3">
        <f>AH28*(1+$V$20)</f>
        <v>54287.443197745888</v>
      </c>
      <c r="AJ28" s="3">
        <f>AI28*(1+$V$20)</f>
        <v>54830.317629723344</v>
      </c>
      <c r="AK28" s="3">
        <f>AJ28*(1+$V$20)</f>
        <v>55378.620806020575</v>
      </c>
      <c r="AL28" s="3">
        <f>AK28*(1+$V$20)</f>
        <v>55932.407014080782</v>
      </c>
      <c r="AM28" s="3">
        <f>AL28*(1+$V$20)</f>
        <v>56491.731084221588</v>
      </c>
      <c r="AN28" s="3">
        <f>AM28*(1+$V$20)</f>
        <v>57056.648395063807</v>
      </c>
      <c r="AO28" s="3">
        <f>AN28*(1+$V$20)</f>
        <v>57627.214879014442</v>
      </c>
      <c r="AP28" s="3">
        <f>AO28*(1+$V$20)</f>
        <v>58203.487027804586</v>
      </c>
      <c r="AQ28" s="3">
        <f>AP28*(1+$V$20)</f>
        <v>58785.521898082632</v>
      </c>
      <c r="AR28" s="3">
        <f>AQ28*(1+$V$20)</f>
        <v>59373.377117063457</v>
      </c>
      <c r="AS28" s="3">
        <f>AR28*(1+$V$20)</f>
        <v>59967.110888234092</v>
      </c>
      <c r="AT28" s="3">
        <f>AS28*(1+$V$20)</f>
        <v>60566.781997116435</v>
      </c>
      <c r="AU28" s="3">
        <f>AT28*(1+$V$20)</f>
        <v>61172.449817087603</v>
      </c>
      <c r="AV28" s="3">
        <f>AU28*(1+$V$20)</f>
        <v>61784.174315258482</v>
      </c>
      <c r="AW28" s="3">
        <f>AV28*(1+$V$20)</f>
        <v>62402.016058411071</v>
      </c>
      <c r="AX28" s="3">
        <f>AW28*(1+$V$20)</f>
        <v>63026.036218995185</v>
      </c>
      <c r="AY28" s="3">
        <f>AX28*(1+$V$20)</f>
        <v>63656.296581185139</v>
      </c>
      <c r="AZ28" s="3">
        <f>AY28*(1+$V$20)</f>
        <v>64292.859546996988</v>
      </c>
      <c r="BA28" s="3">
        <f>AZ28*(1+$V$20)</f>
        <v>64935.788142466961</v>
      </c>
      <c r="BB28" s="3">
        <f>BA28*(1+$V$20)</f>
        <v>65585.146023891633</v>
      </c>
      <c r="BC28" s="3">
        <f>BB28*(1+$V$20)</f>
        <v>66240.997484130552</v>
      </c>
      <c r="BD28" s="3">
        <f>BC28*(1+$V$20)</f>
        <v>66903.407458971851</v>
      </c>
      <c r="BE28" s="3">
        <f>BD28*(1+$V$20)</f>
        <v>67572.441533561563</v>
      </c>
      <c r="BF28" s="3">
        <f>BE28*(1+$V$20)</f>
        <v>68248.165948897178</v>
      </c>
      <c r="BG28" s="3">
        <f>BF28*(1+$V$20)</f>
        <v>68930.647608386149</v>
      </c>
      <c r="BH28" s="3">
        <f>BG28*(1+$V$20)</f>
        <v>69619.95408447001</v>
      </c>
      <c r="BI28" s="3">
        <f>BH28*(1+$V$20)</f>
        <v>70316.153625314706</v>
      </c>
      <c r="BJ28" s="3">
        <f>BI28*(1+$V$20)</f>
        <v>71019.315161567851</v>
      </c>
      <c r="BK28" s="3">
        <f>BJ28*(1+$V$20)</f>
        <v>71729.508313183527</v>
      </c>
      <c r="BL28" s="3">
        <f>BK28*(1+$V$20)</f>
        <v>72446.803396315358</v>
      </c>
      <c r="BM28" s="3">
        <f>BL28*(1+$V$20)</f>
        <v>73171.271430278517</v>
      </c>
      <c r="BN28" s="3">
        <f>BM28*(1+$V$20)</f>
        <v>73902.984144581307</v>
      </c>
      <c r="BO28" s="3">
        <f>BN28*(1+$V$20)</f>
        <v>74642.013986027116</v>
      </c>
      <c r="BP28" s="3">
        <f>BO28*(1+$V$20)</f>
        <v>75388.43412588739</v>
      </c>
      <c r="BQ28" s="3">
        <f>BP28*(1+$V$20)</f>
        <v>76142.318467146266</v>
      </c>
      <c r="BR28" s="3">
        <f>BQ28*(1+$V$20)</f>
        <v>76903.741651817734</v>
      </c>
      <c r="BS28" s="3">
        <f>BR28*(1+$V$20)</f>
        <v>77672.779068335905</v>
      </c>
      <c r="BT28" s="3">
        <f>BS28*(1+$V$20)</f>
        <v>78449.506859019268</v>
      </c>
      <c r="BU28" s="3">
        <f>BT28*(1+$V$20)</f>
        <v>79234.001927609468</v>
      </c>
      <c r="BV28" s="3">
        <f>BU28*(1+$V$20)</f>
        <v>80026.341946885557</v>
      </c>
      <c r="BW28" s="3">
        <f>BV28*(1+$V$20)</f>
        <v>80826.605366354415</v>
      </c>
      <c r="BX28" s="3">
        <f>BW28*(1+$V$20)</f>
        <v>81634.871420017953</v>
      </c>
      <c r="BY28" s="3">
        <f>BX28*(1+$V$20)</f>
        <v>82451.220134218136</v>
      </c>
      <c r="BZ28" s="3">
        <f>BY28*(1+$V$20)</f>
        <v>83275.732335560315</v>
      </c>
      <c r="CA28" s="3">
        <f>BZ28*(1+$V$20)</f>
        <v>84108.489658915918</v>
      </c>
      <c r="CB28" s="3">
        <f>CA28*(1+$V$20)</f>
        <v>84949.574555505082</v>
      </c>
      <c r="CC28" s="3">
        <f>CB28*(1+$V$20)</f>
        <v>85799.070301060128</v>
      </c>
      <c r="CD28" s="3">
        <f>CC28*(1+$V$20)</f>
        <v>86657.061004070725</v>
      </c>
      <c r="CE28" s="3">
        <f>CD28*(1+$V$20)</f>
        <v>87523.631614111437</v>
      </c>
      <c r="CF28" s="3">
        <f>CE28*(1+$V$20)</f>
        <v>88398.867930252556</v>
      </c>
      <c r="CG28" s="3">
        <f>CF28*(1+$V$20)</f>
        <v>89282.856609555078</v>
      </c>
      <c r="CH28" s="3">
        <f>CG28*(1+$V$20)</f>
        <v>90175.685175650622</v>
      </c>
      <c r="CI28" s="3">
        <f>CH28*(1+$V$20)</f>
        <v>91077.442027407131</v>
      </c>
      <c r="CJ28" s="3">
        <f>CI28*(1+$V$20)</f>
        <v>91988.216447681203</v>
      </c>
      <c r="CK28" s="3">
        <f>CJ28*(1+$V$20)</f>
        <v>92908.098612158021</v>
      </c>
      <c r="CL28" s="3">
        <f>CK28*(1+$V$20)</f>
        <v>93837.179598279603</v>
      </c>
      <c r="CM28" s="3">
        <f>CL28*(1+$V$20)</f>
        <v>94775.551394262395</v>
      </c>
      <c r="CN28" s="3">
        <f>CM28*(1+$V$20)</f>
        <v>95723.306908205021</v>
      </c>
      <c r="CO28" s="3">
        <f>CN28*(1+$V$20)</f>
        <v>96680.539977287073</v>
      </c>
      <c r="CP28" s="3">
        <f>CO28*(1+$V$20)</f>
        <v>97647.345377059944</v>
      </c>
      <c r="CQ28" s="3">
        <f>CP28*(1+$V$20)</f>
        <v>98623.81883083054</v>
      </c>
      <c r="CR28" s="3">
        <f>CQ28*(1+$V$20)</f>
        <v>99610.05701913884</v>
      </c>
      <c r="CS28" s="3">
        <f>CR28*(1+$V$20)</f>
        <v>100606.15758933024</v>
      </c>
      <c r="CT28" s="3">
        <f>CS28*(1+$V$20)</f>
        <v>101612.21916522353</v>
      </c>
      <c r="CU28" s="3">
        <f>CT28*(1+$V$20)</f>
        <v>102628.34135687577</v>
      </c>
      <c r="CV28" s="3">
        <f>CU28*(1+$V$20)</f>
        <v>103654.62477044453</v>
      </c>
      <c r="CW28" s="3">
        <f>CV28*(1+$V$20)</f>
        <v>104691.17101814898</v>
      </c>
      <c r="CX28" s="3">
        <f>CW28*(1+$V$20)</f>
        <v>105738.08272833047</v>
      </c>
      <c r="CY28" s="3">
        <f>CX28*(1+$V$20)</f>
        <v>106795.46355561378</v>
      </c>
      <c r="CZ28" s="3">
        <f>CY28*(1+$V$20)</f>
        <v>107863.41819116991</v>
      </c>
      <c r="DA28" s="3">
        <f>CZ28*(1+$V$20)</f>
        <v>108942.05237308161</v>
      </c>
      <c r="DB28" s="3">
        <f>DA28*(1+$V$20)</f>
        <v>110031.47289681243</v>
      </c>
      <c r="DC28" s="3">
        <f>DB28*(1+$V$20)</f>
        <v>111131.78762578055</v>
      </c>
      <c r="DD28" s="3">
        <f>DC28*(1+$V$20)</f>
        <v>112243.10550203835</v>
      </c>
      <c r="DE28" s="3">
        <f>DD28*(1+$V$20)</f>
        <v>113365.53655705873</v>
      </c>
      <c r="DF28" s="3">
        <f>DE28*(1+$V$20)</f>
        <v>114499.19192262932</v>
      </c>
      <c r="DG28" s="3">
        <f>DF28*(1+$V$20)</f>
        <v>115644.18384185561</v>
      </c>
      <c r="DH28" s="3">
        <f>DG28*(1+$V$20)</f>
        <v>116800.62568027417</v>
      </c>
      <c r="DI28" s="3">
        <f>DH28*(1+$V$20)</f>
        <v>117968.63193707692</v>
      </c>
      <c r="DJ28" s="3">
        <f>DI28*(1+$V$20)</f>
        <v>119148.31825644769</v>
      </c>
      <c r="DK28" s="3">
        <f>DJ28*(1+$V$20)</f>
        <v>120339.80143901217</v>
      </c>
      <c r="DL28" s="3">
        <f>DK28*(1+$V$20)</f>
        <v>121543.1994534023</v>
      </c>
      <c r="DM28" s="3">
        <f>DL28*(1+$V$20)</f>
        <v>122758.63144793632</v>
      </c>
      <c r="DN28" s="3">
        <f>DM28*(1+$V$20)</f>
        <v>123986.21776241569</v>
      </c>
    </row>
    <row r="29" spans="1:118" x14ac:dyDescent="0.2">
      <c r="K29" s="4">
        <f>K28/K14</f>
        <v>0.15723549791241009</v>
      </c>
      <c r="L29" s="4">
        <f>L28/L14</f>
        <v>1.1868854882826931</v>
      </c>
      <c r="M29" s="4">
        <f>M28/M14</f>
        <v>0.59459583553341455</v>
      </c>
      <c r="N29" s="4">
        <v>1.2</v>
      </c>
      <c r="O29" s="4">
        <v>1.2</v>
      </c>
      <c r="P29" s="4">
        <v>1.2</v>
      </c>
      <c r="Q29" s="4">
        <v>1.2</v>
      </c>
      <c r="R29" s="4">
        <v>1.2</v>
      </c>
      <c r="S29" s="4">
        <v>1.2</v>
      </c>
    </row>
    <row r="30" spans="1:118" x14ac:dyDescent="0.2">
      <c r="A30" s="1" t="s">
        <v>29</v>
      </c>
      <c r="E30" s="1">
        <f>E32-E34</f>
        <v>-8547.5999999999985</v>
      </c>
      <c r="M30" s="1">
        <f>M32-M34</f>
        <v>-8547.5999999999985</v>
      </c>
      <c r="N30" s="1">
        <f>M30+N14</f>
        <v>2485.8950153846145</v>
      </c>
      <c r="O30" s="1">
        <f>N30+O14</f>
        <v>16927.697525169227</v>
      </c>
      <c r="P30" s="1">
        <f>O30+P14</f>
        <v>35614.63251130977</v>
      </c>
      <c r="Q30" s="1">
        <f>P30+Q14</f>
        <v>59575.05943749861</v>
      </c>
      <c r="R30" s="1">
        <f>Q30+R14</f>
        <v>90071.517645998712</v>
      </c>
      <c r="S30" s="1">
        <f>R30+S14</f>
        <v>128652.7558375448</v>
      </c>
    </row>
    <row r="32" spans="1:118" x14ac:dyDescent="0.2">
      <c r="A32" s="1" t="s">
        <v>3</v>
      </c>
      <c r="E32" s="1">
        <f>7804.7+1779</f>
        <v>9583.7000000000007</v>
      </c>
      <c r="M32" s="1">
        <f>7804.7+1779</f>
        <v>9583.7000000000007</v>
      </c>
    </row>
    <row r="34" spans="1:13" x14ac:dyDescent="0.2">
      <c r="A34" s="1" t="s">
        <v>4</v>
      </c>
      <c r="E34" s="1">
        <f>1780.8+13798.3+2552.2</f>
        <v>18131.3</v>
      </c>
      <c r="M34" s="1">
        <f>1780.8+13798.3+2552.2</f>
        <v>18131.3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2025-04-13T00:30:36Z</dcterms:created>
  <dcterms:modified xsi:type="dcterms:W3CDTF">2025-06-24T04:15:50Z</dcterms:modified>
</cp:coreProperties>
</file>