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F0B87E7-E2DE-4ED2-B25C-E5ADDF44A780}" xr6:coauthVersionLast="47" xr6:coauthVersionMax="47" xr10:uidLastSave="{00000000-0000-0000-0000-000000000000}"/>
  <bookViews>
    <workbookView xWindow="1965" yWindow="915" windowWidth="21945" windowHeight="14445" activeTab="1" xr2:uid="{A01DB42C-5223-4941-B241-BC5C0C7D8E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H16" i="2"/>
  <c r="G29" i="2"/>
  <c r="R46" i="2"/>
  <c r="S46" i="2" s="1"/>
  <c r="T46" i="2" s="1"/>
  <c r="Q57" i="2"/>
  <c r="P57" i="2"/>
  <c r="Q60" i="2"/>
  <c r="P60" i="2"/>
  <c r="G5" i="2"/>
  <c r="G6" i="2" s="1"/>
  <c r="H22" i="2" s="1"/>
  <c r="I24" i="2"/>
  <c r="J24" i="2" s="1"/>
  <c r="I6" i="2"/>
  <c r="J6" i="2" s="1"/>
  <c r="H7" i="2"/>
  <c r="H21" i="2"/>
  <c r="R14" i="2"/>
  <c r="T14" i="2" s="1"/>
  <c r="U14" i="2" s="1"/>
  <c r="V14" i="2" s="1"/>
  <c r="C29" i="2"/>
  <c r="H13" i="2"/>
  <c r="H18" i="2"/>
  <c r="I18" i="2" s="1"/>
  <c r="J18" i="2" s="1"/>
  <c r="R18" i="2" s="1"/>
  <c r="S18" i="2" s="1"/>
  <c r="T18" i="2" s="1"/>
  <c r="U18" i="2" s="1"/>
  <c r="V18" i="2" s="1"/>
  <c r="H11" i="2"/>
  <c r="G13" i="2"/>
  <c r="C13" i="2"/>
  <c r="D8" i="2"/>
  <c r="D24" i="2" s="1"/>
  <c r="E8" i="2"/>
  <c r="E24" i="2" s="1"/>
  <c r="F8" i="2"/>
  <c r="F24" i="2" s="1"/>
  <c r="D11" i="2"/>
  <c r="D26" i="2" s="1"/>
  <c r="E11" i="2"/>
  <c r="E26" i="2" s="1"/>
  <c r="F11" i="2"/>
  <c r="F26" i="2" s="1"/>
  <c r="G11" i="2"/>
  <c r="C11" i="2"/>
  <c r="C26" i="2" s="1"/>
  <c r="C8" i="2"/>
  <c r="L13" i="2"/>
  <c r="L11" i="2"/>
  <c r="L8" i="2"/>
  <c r="P13" i="2"/>
  <c r="O13" i="2"/>
  <c r="Q13" i="2"/>
  <c r="N21" i="2"/>
  <c r="M21" i="2"/>
  <c r="O21" i="2"/>
  <c r="Q21" i="2"/>
  <c r="P21" i="2"/>
  <c r="N8" i="2"/>
  <c r="O8" i="2"/>
  <c r="O24" i="2" s="1"/>
  <c r="P8" i="2"/>
  <c r="Q8" i="2"/>
  <c r="Q24" i="2" s="1"/>
  <c r="N11" i="2"/>
  <c r="O11" i="2"/>
  <c r="O26" i="2" s="1"/>
  <c r="P11" i="2"/>
  <c r="P26" i="2" s="1"/>
  <c r="Q11" i="2"/>
  <c r="Q26" i="2" s="1"/>
  <c r="N13" i="2"/>
  <c r="M13" i="2"/>
  <c r="M11" i="2"/>
  <c r="M8" i="2"/>
  <c r="M24" i="2" s="1"/>
  <c r="Q37" i="2"/>
  <c r="Q31" i="2"/>
  <c r="N1" i="2"/>
  <c r="O1" i="2" s="1"/>
  <c r="P1" i="2" s="1"/>
  <c r="Q1" i="2" s="1"/>
  <c r="R1" i="2" s="1"/>
  <c r="S1" i="2" s="1"/>
  <c r="T1" i="2" s="1"/>
  <c r="U1" i="2" s="1"/>
  <c r="V1" i="2" s="1"/>
  <c r="O4" i="1"/>
  <c r="P62" i="2" l="1"/>
  <c r="Q62" i="2"/>
  <c r="U46" i="2"/>
  <c r="G8" i="2"/>
  <c r="G12" i="2" s="1"/>
  <c r="G25" i="2" s="1"/>
  <c r="J21" i="2"/>
  <c r="R6" i="2"/>
  <c r="H8" i="2"/>
  <c r="H12" i="2" s="1"/>
  <c r="H15" i="2" s="1"/>
  <c r="I21" i="2"/>
  <c r="G21" i="2"/>
  <c r="G22" i="2"/>
  <c r="J22" i="2"/>
  <c r="J11" i="2"/>
  <c r="I22" i="2"/>
  <c r="J7" i="2"/>
  <c r="J8" i="2" s="1"/>
  <c r="I11" i="2"/>
  <c r="G26" i="2"/>
  <c r="I7" i="2"/>
  <c r="C12" i="2"/>
  <c r="C15" i="2" s="1"/>
  <c r="D12" i="2"/>
  <c r="D25" i="2" s="1"/>
  <c r="E12" i="2"/>
  <c r="E25" i="2" s="1"/>
  <c r="F12" i="2"/>
  <c r="F25" i="2" s="1"/>
  <c r="L12" i="2"/>
  <c r="L15" i="2" s="1"/>
  <c r="L17" i="2" s="1"/>
  <c r="C24" i="2"/>
  <c r="P12" i="2"/>
  <c r="N12" i="2"/>
  <c r="N15" i="2" s="1"/>
  <c r="P24" i="2"/>
  <c r="N24" i="2"/>
  <c r="M12" i="2"/>
  <c r="M15" i="2" s="1"/>
  <c r="Q12" i="2"/>
  <c r="O12" i="2"/>
  <c r="Q29" i="2"/>
  <c r="O7" i="1"/>
  <c r="R7" i="2" l="1"/>
  <c r="R8" i="2" s="1"/>
  <c r="R24" i="2" s="1"/>
  <c r="V46" i="2"/>
  <c r="G24" i="2"/>
  <c r="R11" i="2"/>
  <c r="R26" i="2" s="1"/>
  <c r="I8" i="2"/>
  <c r="J12" i="2"/>
  <c r="I12" i="2"/>
  <c r="I25" i="2" s="1"/>
  <c r="J25" i="2"/>
  <c r="C17" i="2"/>
  <c r="C19" i="2" s="1"/>
  <c r="D15" i="2"/>
  <c r="C25" i="2"/>
  <c r="F15" i="2"/>
  <c r="E15" i="2"/>
  <c r="H25" i="2"/>
  <c r="G15" i="2"/>
  <c r="R21" i="2"/>
  <c r="S6" i="2"/>
  <c r="Q15" i="2"/>
  <c r="Q17" i="2" s="1"/>
  <c r="Q44" i="2" s="1"/>
  <c r="Q25" i="2"/>
  <c r="O15" i="2"/>
  <c r="O17" i="2" s="1"/>
  <c r="O25" i="2"/>
  <c r="P15" i="2"/>
  <c r="P25" i="2"/>
  <c r="N17" i="2"/>
  <c r="N44" i="2" s="1"/>
  <c r="R56" i="2" l="1"/>
  <c r="R47" i="2"/>
  <c r="R60" i="2"/>
  <c r="R55" i="2"/>
  <c r="H17" i="2"/>
  <c r="G17" i="2"/>
  <c r="G19" i="2" s="1"/>
  <c r="F17" i="2"/>
  <c r="F19" i="2" s="1"/>
  <c r="E17" i="2"/>
  <c r="E19" i="2" s="1"/>
  <c r="D17" i="2"/>
  <c r="D19" i="2" s="1"/>
  <c r="P17" i="2"/>
  <c r="P44" i="2" s="1"/>
  <c r="T6" i="2"/>
  <c r="S21" i="2"/>
  <c r="S7" i="2"/>
  <c r="S8" i="2" s="1"/>
  <c r="Q19" i="2"/>
  <c r="O44" i="2"/>
  <c r="O19" i="2"/>
  <c r="S55" i="2" l="1"/>
  <c r="S60" i="2"/>
  <c r="S47" i="2"/>
  <c r="S56" i="2"/>
  <c r="H19" i="2"/>
  <c r="H29" i="2"/>
  <c r="I13" i="2" s="1"/>
  <c r="P19" i="2"/>
  <c r="U6" i="2"/>
  <c r="T7" i="2"/>
  <c r="T8" i="2" s="1"/>
  <c r="T21" i="2"/>
  <c r="R12" i="2"/>
  <c r="R25" i="2" s="1"/>
  <c r="M17" i="2"/>
  <c r="M44" i="2" s="1"/>
  <c r="T56" i="2" l="1"/>
  <c r="T47" i="2"/>
  <c r="T60" i="2"/>
  <c r="T55" i="2"/>
  <c r="I15" i="2"/>
  <c r="V6" i="2"/>
  <c r="U7" i="2"/>
  <c r="U8" i="2" s="1"/>
  <c r="U21" i="2"/>
  <c r="U55" i="2" l="1"/>
  <c r="U60" i="2"/>
  <c r="U47" i="2"/>
  <c r="U56" i="2"/>
  <c r="I17" i="2"/>
  <c r="I29" i="2" s="1"/>
  <c r="V21" i="2"/>
  <c r="V7" i="2"/>
  <c r="V8" i="2" s="1"/>
  <c r="V11" i="2"/>
  <c r="U11" i="2"/>
  <c r="U12" i="2" s="1"/>
  <c r="T11" i="2"/>
  <c r="T12" i="2" s="1"/>
  <c r="T25" i="2" s="1"/>
  <c r="S11" i="2"/>
  <c r="S12" i="2" s="1"/>
  <c r="S25" i="2" s="1"/>
  <c r="V56" i="2" l="1"/>
  <c r="V47" i="2"/>
  <c r="V60" i="2"/>
  <c r="V55" i="2"/>
  <c r="V12" i="2"/>
  <c r="I19" i="2"/>
  <c r="U25" i="2"/>
  <c r="V25" i="2"/>
  <c r="J13" i="2" l="1"/>
  <c r="J15" i="2" l="1"/>
  <c r="J16" i="2" s="1"/>
  <c r="R13" i="2"/>
  <c r="R29" i="2" l="1"/>
  <c r="R15" i="2"/>
  <c r="J17" i="2"/>
  <c r="J29" i="2" s="1"/>
  <c r="R16" i="2"/>
  <c r="J19" i="2" l="1"/>
  <c r="R17" i="2"/>
  <c r="S13" i="2"/>
  <c r="S15" i="2" s="1"/>
  <c r="S16" i="2" s="1"/>
  <c r="S29" i="2" l="1"/>
  <c r="T13" i="2" s="1"/>
  <c r="T15" i="2" s="1"/>
  <c r="T16" i="2" s="1"/>
  <c r="S17" i="2"/>
  <c r="R19" i="2"/>
  <c r="R44" i="2"/>
  <c r="R57" i="2" s="1"/>
  <c r="R62" i="2" s="1"/>
  <c r="T29" i="2" l="1"/>
  <c r="S44" i="2"/>
  <c r="S57" i="2" s="1"/>
  <c r="S62" i="2" s="1"/>
  <c r="S19" i="2"/>
  <c r="U13" i="2"/>
  <c r="U15" i="2" s="1"/>
  <c r="U16" i="2" s="1"/>
  <c r="T17" i="2"/>
  <c r="U29" i="2" l="1"/>
  <c r="T19" i="2"/>
  <c r="T44" i="2"/>
  <c r="T57" i="2" s="1"/>
  <c r="T62" i="2" s="1"/>
  <c r="V13" i="2"/>
  <c r="V15" i="2" s="1"/>
  <c r="V29" i="2"/>
  <c r="U17" i="2"/>
  <c r="V16" i="2" l="1"/>
  <c r="V17" i="2" s="1"/>
  <c r="U44" i="2"/>
  <c r="U57" i="2" s="1"/>
  <c r="U62" i="2" s="1"/>
  <c r="U19" i="2"/>
  <c r="V44" i="2" l="1"/>
  <c r="V57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Y57" i="2" s="1"/>
  <c r="Y58" i="2" s="1"/>
  <c r="Y59" i="2" s="1"/>
  <c r="V19" i="2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tc={7E11744B-D5AB-4208-9165-DA43F82432E9}</author>
  </authors>
  <commentList>
    <comment ref="G5" authorId="0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</commentList>
</comments>
</file>

<file path=xl/sharedStrings.xml><?xml version="1.0" encoding="utf-8"?>
<sst xmlns="http://schemas.openxmlformats.org/spreadsheetml/2006/main" count="95" uniqueCount="83">
  <si>
    <t>Price</t>
  </si>
  <si>
    <t>Shares</t>
  </si>
  <si>
    <t>MC</t>
  </si>
  <si>
    <t>Cash</t>
  </si>
  <si>
    <t>Debt</t>
  </si>
  <si>
    <t>EV</t>
  </si>
  <si>
    <t>Q424</t>
  </si>
  <si>
    <t>Revenue</t>
  </si>
  <si>
    <t>COGS</t>
  </si>
  <si>
    <t>Gross Profit</t>
  </si>
  <si>
    <t>R&amp;D</t>
  </si>
  <si>
    <t>SG&amp;A</t>
  </si>
  <si>
    <t>OPEX</t>
  </si>
  <si>
    <t>Operating Income</t>
  </si>
  <si>
    <t>Interest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</si>
  <si>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</si>
  <si>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</si>
  <si>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</si>
  <si>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</si>
  <si>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</si>
  <si>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</si>
  <si>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</si>
  <si>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</si>
  <si>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Q124</t>
  </si>
  <si>
    <t>Q224</t>
  </si>
  <si>
    <t>Q324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</si>
  <si>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</si>
  <si>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</si>
  <si>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</si>
  <si>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</si>
  <si>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</si>
  <si>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</si>
  <si>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</si>
  <si>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</si>
  <si>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Diff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</si>
  <si>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</si>
  <si>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</si>
  <si>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</si>
  <si>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</si>
  <si>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</si>
  <si>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</si>
  <si>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</si>
  <si>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</si>
  <si>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</si>
  <si>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</si>
  <si>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</si>
  <si>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</si>
  <si>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OPEX Margin</t>
  </si>
  <si>
    <t>FCF Margin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</si>
  <si>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</si>
  <si>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</si>
  <si>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</si>
  <si>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</si>
  <si>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</si>
  <si>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</si>
  <si>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</si>
  <si>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</si>
  <si>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</si>
  <si>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</si>
  <si>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</si>
  <si>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</si>
  <si>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</si>
  <si>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</si>
  <si>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</si>
  <si>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</si>
  <si>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</si>
  <si>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</si>
  <si>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</si>
  <si>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</si>
  <si>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</si>
  <si>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</si>
  <si>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</si>
  <si>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Liabiltiies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</si>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</sst>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9525</xdr:rowOff>
    </xdr:from>
    <xdr:to>
      <xdr:col>7</xdr:col>
      <xdr:colOff>28575</xdr:colOff>
      <xdr:row>73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4819650" y="9525"/>
          <a:ext cx="38100" cy="12087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38100</xdr:colOff>
      <xdr:row>73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1010900" y="0"/>
          <a:ext cx="38100" cy="1182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5-05-29T00:24:41.76" personId="{7BA57726-1A28-4F09-A828-A7B9F4B7C04C}" id="{7E11744B-D5AB-4208-9165-DA43F82432E9}">
    <text>Blackwell 70% of rev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P24"/>
  <sheetViews>
    <sheetView zoomScale="115" zoomScaleNormal="115" workbookViewId="0">
      <selection activeCell="N2" sqref="N2"/>
    </sheetView>
  </sheetViews>
  <sheetFormatPr defaultRowHeight="12.75" x14ac:dyDescent="0.2"/>
  <cols>
    <col min="1" max="3" width="9.140625" style="10"/>
    <col min="4" max="4" width="10.42578125" style="10" customWidth="1"/>
    <col min="5" max="5" width="9.85546875" style="10" customWidth="1"/>
    <col min="6" max="14" width="9.140625" style="10"/>
    <col min="15" max="15" width="10.42578125" style="10" customWidth="1"/>
    <col min="16" max="16384" width="9.140625" style="10"/>
  </cols>
  <sheetData>
    <row r="1" spans="1:16" x14ac:dyDescent="0.2">
      <c r="A1" s="9"/>
    </row>
    <row r="2" spans="1:16" x14ac:dyDescent="0.2">
      <c r="N2" s="10" t="s">
        <v>0</v>
      </c>
      <c r="O2" s="5">
        <v>145</v>
      </c>
    </row>
    <row r="3" spans="1:16" x14ac:dyDescent="0.2">
      <c r="N3" s="10" t="s">
        <v>1</v>
      </c>
      <c r="O3" s="2">
        <v>24400</v>
      </c>
      <c r="P3" s="10" t="s">
        <v>26</v>
      </c>
    </row>
    <row r="4" spans="1:16" x14ac:dyDescent="0.2">
      <c r="N4" s="10" t="s">
        <v>2</v>
      </c>
      <c r="O4" s="2">
        <f>O3*O2</f>
        <v>3538000</v>
      </c>
    </row>
    <row r="5" spans="1:16" x14ac:dyDescent="0.2">
      <c r="D5" s="10" t="s">
        <v>42</v>
      </c>
      <c r="E5" s="10">
        <v>2022</v>
      </c>
      <c r="N5" s="10" t="s">
        <v>3</v>
      </c>
      <c r="O5" s="2">
        <v>53691</v>
      </c>
      <c r="P5" s="10" t="s">
        <v>26</v>
      </c>
    </row>
    <row r="6" spans="1:16" x14ac:dyDescent="0.2">
      <c r="D6" s="10" t="s">
        <v>43</v>
      </c>
      <c r="F6" s="10" t="s">
        <v>46</v>
      </c>
      <c r="N6" s="10" t="s">
        <v>4</v>
      </c>
      <c r="O6" s="2">
        <v>14869</v>
      </c>
      <c r="P6" s="10" t="s">
        <v>26</v>
      </c>
    </row>
    <row r="7" spans="1:16" x14ac:dyDescent="0.2">
      <c r="D7" s="10" t="s">
        <v>52</v>
      </c>
      <c r="N7" s="10" t="s">
        <v>5</v>
      </c>
      <c r="O7" s="2">
        <f>O4+O6-O5</f>
        <v>3499178</v>
      </c>
    </row>
    <row r="8" spans="1:16" x14ac:dyDescent="0.2">
      <c r="D8" s="10" t="s">
        <v>44</v>
      </c>
    </row>
    <row r="9" spans="1:16" x14ac:dyDescent="0.2">
      <c r="D9" s="10" t="s">
        <v>45</v>
      </c>
    </row>
    <row r="13" spans="1:16" x14ac:dyDescent="0.2">
      <c r="D13" s="10" t="s">
        <v>74</v>
      </c>
    </row>
    <row r="14" spans="1:16" x14ac:dyDescent="0.2">
      <c r="D14" s="10" t="s">
        <v>53</v>
      </c>
    </row>
    <row r="15" spans="1:16" x14ac:dyDescent="0.2">
      <c r="D15" s="10" t="s">
        <v>54</v>
      </c>
    </row>
    <row r="16" spans="1:16" x14ac:dyDescent="0.2">
      <c r="D16" s="10" t="s">
        <v>55</v>
      </c>
    </row>
    <row r="17" spans="4:4" x14ac:dyDescent="0.2">
      <c r="D17" s="10" t="s">
        <v>56</v>
      </c>
    </row>
    <row r="18" spans="4:4" x14ac:dyDescent="0.2">
      <c r="D18" s="10" t="s">
        <v>57</v>
      </c>
    </row>
    <row r="19" spans="4:4" x14ac:dyDescent="0.2">
      <c r="D19" s="10" t="s">
        <v>58</v>
      </c>
    </row>
    <row r="20" spans="4:4" x14ac:dyDescent="0.2">
      <c r="D20" s="10" t="s">
        <v>59</v>
      </c>
    </row>
    <row r="21" spans="4:4" x14ac:dyDescent="0.2">
      <c r="D21" s="10" t="s">
        <v>60</v>
      </c>
    </row>
    <row r="22" spans="4:4" x14ac:dyDescent="0.2">
      <c r="D22" s="10" t="s">
        <v>61</v>
      </c>
    </row>
    <row r="23" spans="4:4" x14ac:dyDescent="0.2">
      <c r="D23" s="10" t="s">
        <v>62</v>
      </c>
    </row>
    <row r="24" spans="4:4" x14ac:dyDescent="0.2">
      <c r="D24" s="1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M62"/>
  <sheetViews>
    <sheetView tabSelected="1" zoomScale="130" zoomScaleNormal="130" workbookViewId="0">
      <pane xSplit="2" ySplit="1" topLeftCell="Q37" activePane="bottomRight" state="frozen"/>
      <selection pane="topRight" activeCell="B1" sqref="B1"/>
      <selection pane="bottomLeft" activeCell="A2" sqref="A2"/>
      <selection pane="bottomRight" activeCell="Y54" sqref="Y54"/>
    </sheetView>
  </sheetViews>
  <sheetFormatPr defaultRowHeight="12.75" x14ac:dyDescent="0.2"/>
  <cols>
    <col min="1" max="1" width="5" style="2" customWidth="1"/>
    <col min="2" max="2" width="24.7109375" style="2" customWidth="1"/>
    <col min="3" max="5" width="9.140625" style="2"/>
    <col min="6" max="10" width="9.28515625" style="2" bestFit="1" customWidth="1"/>
    <col min="11" max="11" width="9.140625" style="2"/>
    <col min="12" max="24" width="9.28515625" style="2" bestFit="1" customWidth="1"/>
    <col min="25" max="25" width="10.140625" style="2" bestFit="1" customWidth="1"/>
    <col min="26" max="119" width="9.28515625" style="2" bestFit="1" customWidth="1"/>
    <col min="120" max="143" width="10.140625" style="2" bestFit="1" customWidth="1"/>
    <col min="144" max="16384" width="9.140625" style="2"/>
  </cols>
  <sheetData>
    <row r="1" spans="1:26" ht="13.5" x14ac:dyDescent="0.25">
      <c r="A1" s="1" t="s">
        <v>41</v>
      </c>
      <c r="C1" s="2" t="s">
        <v>23</v>
      </c>
      <c r="D1" s="2" t="s">
        <v>24</v>
      </c>
      <c r="E1" s="2" t="s">
        <v>25</v>
      </c>
      <c r="F1" s="2" t="s">
        <v>6</v>
      </c>
      <c r="G1" s="2" t="s">
        <v>26</v>
      </c>
      <c r="H1" s="2" t="s">
        <v>38</v>
      </c>
      <c r="I1" s="2" t="s">
        <v>39</v>
      </c>
      <c r="J1" s="2" t="s">
        <v>37</v>
      </c>
      <c r="L1" s="3">
        <v>2020</v>
      </c>
      <c r="M1" s="3">
        <v>2021</v>
      </c>
      <c r="N1" s="3">
        <f>M1+1</f>
        <v>2022</v>
      </c>
      <c r="O1" s="3">
        <f t="shared" ref="O1:V1" si="0">N1+1</f>
        <v>2023</v>
      </c>
      <c r="P1" s="3">
        <f t="shared" si="0"/>
        <v>2024</v>
      </c>
      <c r="Q1" s="3">
        <f t="shared" si="0"/>
        <v>2025</v>
      </c>
      <c r="R1" s="3">
        <f t="shared" si="0"/>
        <v>2026</v>
      </c>
      <c r="S1" s="3">
        <f t="shared" si="0"/>
        <v>2027</v>
      </c>
      <c r="T1" s="3">
        <f t="shared" si="0"/>
        <v>2028</v>
      </c>
      <c r="U1" s="3">
        <f t="shared" si="0"/>
        <v>2029</v>
      </c>
      <c r="V1" s="3">
        <f t="shared" si="0"/>
        <v>2030</v>
      </c>
    </row>
    <row r="2" spans="1:26" ht="13.5" x14ac:dyDescent="0.25">
      <c r="A2" s="1"/>
      <c r="B2" s="2" t="s">
        <v>66</v>
      </c>
      <c r="G2" s="2">
        <v>567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6" ht="13.5" x14ac:dyDescent="0.25">
      <c r="A3" s="1"/>
      <c r="B3" s="2" t="s">
        <v>65</v>
      </c>
      <c r="G3" s="2">
        <v>509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ht="13.5" x14ac:dyDescent="0.25">
      <c r="A4" s="1"/>
      <c r="B4" s="2" t="s">
        <v>64</v>
      </c>
      <c r="G4" s="2">
        <v>3800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6" ht="13.5" x14ac:dyDescent="0.25">
      <c r="A5" s="1"/>
      <c r="B5" s="2" t="s">
        <v>49</v>
      </c>
      <c r="G5" s="2">
        <f>39100</f>
        <v>39100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6" s="4" customFormat="1" x14ac:dyDescent="0.2">
      <c r="B6" s="4" t="s">
        <v>7</v>
      </c>
      <c r="C6" s="4">
        <v>26044</v>
      </c>
      <c r="F6" s="4">
        <v>39300</v>
      </c>
      <c r="G6" s="4">
        <f>SUM(G2:G5)</f>
        <v>43976</v>
      </c>
      <c r="H6" s="4">
        <v>46000</v>
      </c>
      <c r="I6" s="4">
        <f t="shared" ref="I6:J6" si="1">H6*1.08</f>
        <v>49680</v>
      </c>
      <c r="J6" s="4">
        <f t="shared" si="1"/>
        <v>53654.400000000001</v>
      </c>
      <c r="O6" s="4">
        <v>26974</v>
      </c>
      <c r="P6" s="4">
        <v>60922</v>
      </c>
      <c r="Q6" s="4">
        <v>130497</v>
      </c>
      <c r="R6" s="4">
        <f>SUM(G6:J6)</f>
        <v>193310.4</v>
      </c>
      <c r="S6" s="4">
        <f>R6*1.34</f>
        <v>259035.93600000002</v>
      </c>
      <c r="T6" s="4">
        <f t="shared" ref="T6:V6" si="2">S6*1.34</f>
        <v>347108.15424000006</v>
      </c>
      <c r="U6" s="4">
        <f t="shared" si="2"/>
        <v>465124.9266816001</v>
      </c>
      <c r="V6" s="4">
        <f t="shared" si="2"/>
        <v>623267.40175334422</v>
      </c>
    </row>
    <row r="7" spans="1:26" x14ac:dyDescent="0.2">
      <c r="B7" s="2" t="s">
        <v>8</v>
      </c>
      <c r="C7" s="2">
        <v>5638</v>
      </c>
      <c r="G7" s="2">
        <v>17394</v>
      </c>
      <c r="H7" s="2">
        <f>H6*(1-H24)</f>
        <v>12880.000000000002</v>
      </c>
      <c r="I7" s="2">
        <f>I6*(1-I24)</f>
        <v>13195.008000000003</v>
      </c>
      <c r="J7" s="2">
        <f>J6*(1-J24)</f>
        <v>13462.532812800002</v>
      </c>
      <c r="O7" s="2">
        <v>11618</v>
      </c>
      <c r="P7" s="2">
        <v>16621</v>
      </c>
      <c r="Q7" s="2">
        <v>32639</v>
      </c>
      <c r="R7" s="2">
        <f>SUM(G7:J7)</f>
        <v>56931.540812800005</v>
      </c>
      <c r="S7" s="2">
        <f>S6*(1-S24)</f>
        <v>67349.343360000013</v>
      </c>
      <c r="T7" s="2">
        <f>T6*(1-T24)</f>
        <v>90248.120102400018</v>
      </c>
      <c r="U7" s="2">
        <f>U6*(1-U24)</f>
        <v>120932.48093721604</v>
      </c>
      <c r="V7" s="2">
        <f>V6*(1-V24)</f>
        <v>162049.52445586951</v>
      </c>
      <c r="Z7" s="4"/>
    </row>
    <row r="8" spans="1:26" x14ac:dyDescent="0.2">
      <c r="B8" s="2" t="s">
        <v>9</v>
      </c>
      <c r="C8" s="2">
        <f>C6-C7</f>
        <v>20406</v>
      </c>
      <c r="D8" s="2">
        <f t="shared" ref="D8:J8" si="3">D6-D7</f>
        <v>0</v>
      </c>
      <c r="E8" s="2">
        <f t="shared" si="3"/>
        <v>0</v>
      </c>
      <c r="F8" s="2">
        <f t="shared" si="3"/>
        <v>39300</v>
      </c>
      <c r="G8" s="2">
        <f t="shared" si="3"/>
        <v>26582</v>
      </c>
      <c r="H8" s="2">
        <f t="shared" si="3"/>
        <v>33120</v>
      </c>
      <c r="I8" s="2">
        <f t="shared" si="3"/>
        <v>36484.991999999998</v>
      </c>
      <c r="J8" s="2">
        <f t="shared" si="3"/>
        <v>40191.867187199998</v>
      </c>
      <c r="L8" s="2">
        <f t="shared" ref="L8:V8" si="4">L6-L7</f>
        <v>0</v>
      </c>
      <c r="M8" s="2">
        <f t="shared" si="4"/>
        <v>0</v>
      </c>
      <c r="N8" s="2">
        <f t="shared" si="4"/>
        <v>0</v>
      </c>
      <c r="O8" s="2">
        <f t="shared" si="4"/>
        <v>15356</v>
      </c>
      <c r="P8" s="2">
        <f t="shared" si="4"/>
        <v>44301</v>
      </c>
      <c r="Q8" s="2">
        <f t="shared" si="4"/>
        <v>97858</v>
      </c>
      <c r="R8" s="2">
        <f t="shared" si="4"/>
        <v>136378.8591872</v>
      </c>
      <c r="S8" s="2">
        <f t="shared" si="4"/>
        <v>191686.59263999999</v>
      </c>
      <c r="T8" s="2">
        <f t="shared" si="4"/>
        <v>256860.03413760004</v>
      </c>
      <c r="U8" s="2">
        <f t="shared" si="4"/>
        <v>344192.44574438408</v>
      </c>
      <c r="V8" s="2">
        <f t="shared" si="4"/>
        <v>461217.87729747471</v>
      </c>
      <c r="Z8" s="4"/>
    </row>
    <row r="9" spans="1:26" x14ac:dyDescent="0.2">
      <c r="B9" s="2" t="s">
        <v>10</v>
      </c>
      <c r="C9" s="2">
        <v>2720</v>
      </c>
      <c r="G9" s="2">
        <v>3989</v>
      </c>
      <c r="O9" s="2">
        <v>7339</v>
      </c>
      <c r="P9" s="2">
        <v>8675</v>
      </c>
      <c r="Q9" s="2">
        <v>12914</v>
      </c>
      <c r="Z9" s="4"/>
    </row>
    <row r="10" spans="1:26" x14ac:dyDescent="0.2">
      <c r="B10" s="2" t="s">
        <v>11</v>
      </c>
      <c r="C10" s="2">
        <v>777</v>
      </c>
      <c r="G10" s="2">
        <v>1041</v>
      </c>
      <c r="O10" s="2">
        <v>2440</v>
      </c>
      <c r="P10" s="2">
        <v>2654</v>
      </c>
      <c r="Q10" s="2">
        <v>3491</v>
      </c>
      <c r="Z10" s="4"/>
    </row>
    <row r="11" spans="1:26" x14ac:dyDescent="0.2">
      <c r="B11" s="2" t="s">
        <v>12</v>
      </c>
      <c r="C11" s="2">
        <f>SUM(C9:C10)</f>
        <v>3497</v>
      </c>
      <c r="D11" s="2">
        <f t="shared" ref="D11:G11" si="5">SUM(D9:D10)</f>
        <v>0</v>
      </c>
      <c r="E11" s="2">
        <f t="shared" si="5"/>
        <v>0</v>
      </c>
      <c r="F11" s="2">
        <f t="shared" si="5"/>
        <v>0</v>
      </c>
      <c r="G11" s="2">
        <f t="shared" si="5"/>
        <v>5030</v>
      </c>
      <c r="H11" s="2">
        <f>H6*H26</f>
        <v>7820.0000000000009</v>
      </c>
      <c r="I11" s="2">
        <f>I6*I26</f>
        <v>8445.6</v>
      </c>
      <c r="J11" s="2">
        <f>J6*J26</f>
        <v>9121.2480000000014</v>
      </c>
      <c r="L11" s="2">
        <f>SUM(L9:L10)</f>
        <v>0</v>
      </c>
      <c r="M11" s="2">
        <f>SUM(M9:M10)</f>
        <v>0</v>
      </c>
      <c r="N11" s="2">
        <f t="shared" ref="N11:Q11" si="6">SUM(N9:N10)</f>
        <v>0</v>
      </c>
      <c r="O11" s="2">
        <f t="shared" si="6"/>
        <v>9779</v>
      </c>
      <c r="P11" s="2">
        <f t="shared" si="6"/>
        <v>11329</v>
      </c>
      <c r="Q11" s="2">
        <f t="shared" si="6"/>
        <v>16405</v>
      </c>
      <c r="R11" s="2">
        <f>SUM(G11:J11)</f>
        <v>30416.847999999998</v>
      </c>
      <c r="S11" s="2">
        <f>S6*S26</f>
        <v>41445.749760000006</v>
      </c>
      <c r="T11" s="2">
        <f>T6*T26</f>
        <v>55537.304678400011</v>
      </c>
      <c r="U11" s="2">
        <f>U6*U26</f>
        <v>74419.988269056019</v>
      </c>
      <c r="V11" s="2">
        <f>V6*V26</f>
        <v>99722.784280535081</v>
      </c>
      <c r="Z11" s="4"/>
    </row>
    <row r="12" spans="1:26" x14ac:dyDescent="0.2">
      <c r="B12" s="2" t="s">
        <v>13</v>
      </c>
      <c r="C12" s="2">
        <f>C8-C11</f>
        <v>16909</v>
      </c>
      <c r="D12" s="2">
        <f t="shared" ref="D12:J12" si="7">D8-D11</f>
        <v>0</v>
      </c>
      <c r="E12" s="2">
        <f t="shared" si="7"/>
        <v>0</v>
      </c>
      <c r="F12" s="2">
        <f t="shared" si="7"/>
        <v>39300</v>
      </c>
      <c r="G12" s="2">
        <f t="shared" si="7"/>
        <v>21552</v>
      </c>
      <c r="H12" s="2">
        <f t="shared" si="7"/>
        <v>25300</v>
      </c>
      <c r="I12" s="2">
        <f t="shared" si="7"/>
        <v>28039.392</v>
      </c>
      <c r="J12" s="2">
        <f t="shared" si="7"/>
        <v>31070.619187199998</v>
      </c>
      <c r="L12" s="2">
        <f>L8-L11</f>
        <v>0</v>
      </c>
      <c r="M12" s="2">
        <f>M8-M11</f>
        <v>0</v>
      </c>
      <c r="N12" s="2">
        <f t="shared" ref="N12:Q12" si="8">N8-N11</f>
        <v>0</v>
      </c>
      <c r="O12" s="2">
        <f t="shared" si="8"/>
        <v>5577</v>
      </c>
      <c r="P12" s="2">
        <f t="shared" si="8"/>
        <v>32972</v>
      </c>
      <c r="Q12" s="2">
        <f t="shared" si="8"/>
        <v>81453</v>
      </c>
      <c r="R12" s="2">
        <f>R8-R11</f>
        <v>105962.0111872</v>
      </c>
      <c r="S12" s="2">
        <f t="shared" ref="S12:V12" si="9">S8-S11</f>
        <v>150240.84287999998</v>
      </c>
      <c r="T12" s="2">
        <f t="shared" si="9"/>
        <v>201322.72945920003</v>
      </c>
      <c r="U12" s="2">
        <f t="shared" si="9"/>
        <v>269772.45747532806</v>
      </c>
      <c r="V12" s="2">
        <f t="shared" si="9"/>
        <v>361495.09301693965</v>
      </c>
      <c r="Z12" s="4"/>
    </row>
    <row r="13" spans="1:26" x14ac:dyDescent="0.2">
      <c r="B13" s="2" t="s">
        <v>14</v>
      </c>
      <c r="C13" s="2">
        <f>359-64</f>
        <v>295</v>
      </c>
      <c r="G13" s="2">
        <f>515-63</f>
        <v>452</v>
      </c>
      <c r="H13" s="2">
        <f>G29*$Y$54/4</f>
        <v>194.11</v>
      </c>
      <c r="I13" s="2">
        <f>H29*$Y$54/4</f>
        <v>296.08643999999998</v>
      </c>
      <c r="J13" s="2">
        <f>I29*$Y$54/4</f>
        <v>409.42835376000005</v>
      </c>
      <c r="L13" s="2">
        <f>K29*$Y$54</f>
        <v>0</v>
      </c>
      <c r="M13" s="2">
        <f>L29*$Y$54</f>
        <v>0</v>
      </c>
      <c r="N13" s="2">
        <f>M29*$Y$54</f>
        <v>0</v>
      </c>
      <c r="O13" s="2">
        <f>267-262</f>
        <v>5</v>
      </c>
      <c r="P13" s="2">
        <f>866-257</f>
        <v>609</v>
      </c>
      <c r="Q13" s="2">
        <f>1786-247</f>
        <v>1539</v>
      </c>
      <c r="R13" s="2">
        <f>SUM(G13:J13)</f>
        <v>1351.6247937600001</v>
      </c>
      <c r="S13" s="2">
        <f>R29*$Y$54</f>
        <v>637.07249587519993</v>
      </c>
      <c r="T13" s="2">
        <f>S29*$Y$54</f>
        <v>649.81394579270398</v>
      </c>
      <c r="U13" s="2">
        <f>T29*$Y$54</f>
        <v>662.81022470855805</v>
      </c>
      <c r="V13" s="2">
        <f>U29*$Y$54</f>
        <v>676.06642920272918</v>
      </c>
      <c r="Z13" s="4"/>
    </row>
    <row r="14" spans="1:26" x14ac:dyDescent="0.2">
      <c r="B14" s="2" t="s">
        <v>15</v>
      </c>
      <c r="C14" s="2">
        <v>75</v>
      </c>
      <c r="G14" s="2">
        <v>-180</v>
      </c>
      <c r="O14" s="2">
        <v>-48</v>
      </c>
      <c r="P14" s="2">
        <v>237</v>
      </c>
      <c r="Q14" s="2">
        <v>1034</v>
      </c>
      <c r="R14" s="2">
        <f>SUM(G14:J14)</f>
        <v>-180</v>
      </c>
      <c r="S14" s="2">
        <v>0</v>
      </c>
      <c r="T14" s="2">
        <f t="shared" ref="T14:V14" si="10">S14*1.02</f>
        <v>0</v>
      </c>
      <c r="U14" s="2">
        <f t="shared" si="10"/>
        <v>0</v>
      </c>
      <c r="V14" s="2">
        <f t="shared" si="10"/>
        <v>0</v>
      </c>
      <c r="Z14" s="4"/>
    </row>
    <row r="15" spans="1:26" x14ac:dyDescent="0.2">
      <c r="B15" s="2" t="s">
        <v>16</v>
      </c>
      <c r="C15" s="2">
        <f>C12+SUM(C13:C14)</f>
        <v>17279</v>
      </c>
      <c r="D15" s="2">
        <f t="shared" ref="D15:J15" si="11">D12+SUM(D13:D14)</f>
        <v>0</v>
      </c>
      <c r="E15" s="2">
        <f t="shared" si="11"/>
        <v>0</v>
      </c>
      <c r="F15" s="2">
        <f t="shared" si="11"/>
        <v>39300</v>
      </c>
      <c r="G15" s="2">
        <f t="shared" si="11"/>
        <v>21824</v>
      </c>
      <c r="H15" s="2">
        <f t="shared" si="11"/>
        <v>25494.11</v>
      </c>
      <c r="I15" s="2">
        <f t="shared" si="11"/>
        <v>28335.478439999999</v>
      </c>
      <c r="J15" s="2">
        <f t="shared" si="11"/>
        <v>31480.047540959997</v>
      </c>
      <c r="L15" s="2">
        <f>L12+SUM(L13:L14)</f>
        <v>0</v>
      </c>
      <c r="M15" s="2">
        <f>M12+SUM(M13:M14)</f>
        <v>0</v>
      </c>
      <c r="N15" s="2">
        <f t="shared" ref="N15:Q15" si="12">N12+SUM(N13:N14)</f>
        <v>0</v>
      </c>
      <c r="O15" s="2">
        <f t="shared" si="12"/>
        <v>5534</v>
      </c>
      <c r="P15" s="2">
        <f t="shared" si="12"/>
        <v>33818</v>
      </c>
      <c r="Q15" s="2">
        <f t="shared" si="12"/>
        <v>84026</v>
      </c>
      <c r="R15" s="2">
        <f>R12+SUM(R13:R14)</f>
        <v>107133.63598096</v>
      </c>
      <c r="S15" s="2">
        <f t="shared" ref="S15:V15" si="13">S12+SUM(S13:S14)</f>
        <v>150877.91537587519</v>
      </c>
      <c r="T15" s="2">
        <f t="shared" si="13"/>
        <v>201972.54340499273</v>
      </c>
      <c r="U15" s="2">
        <f t="shared" si="13"/>
        <v>270435.26770003664</v>
      </c>
      <c r="V15" s="2">
        <f t="shared" si="13"/>
        <v>362171.15944614238</v>
      </c>
    </row>
    <row r="16" spans="1:26" x14ac:dyDescent="0.2">
      <c r="B16" s="2" t="s">
        <v>17</v>
      </c>
      <c r="C16" s="2">
        <v>2398</v>
      </c>
      <c r="G16" s="2">
        <v>3135</v>
      </c>
      <c r="H16" s="2">
        <f>H15*0.2</f>
        <v>5098.8220000000001</v>
      </c>
      <c r="I16" s="2">
        <f t="shared" ref="I16:J16" si="14">I15*0.2</f>
        <v>5667.0956880000003</v>
      </c>
      <c r="J16" s="2">
        <f t="shared" si="14"/>
        <v>6296.0095081919999</v>
      </c>
      <c r="O16" s="2">
        <v>-187</v>
      </c>
      <c r="P16" s="2">
        <v>4058</v>
      </c>
      <c r="Q16" s="2">
        <v>11146</v>
      </c>
      <c r="R16" s="2">
        <f>SUM(G16:J16)</f>
        <v>20196.927196192002</v>
      </c>
      <c r="S16" s="2">
        <f>S15*0.2</f>
        <v>30175.58307517504</v>
      </c>
      <c r="T16" s="2">
        <f t="shared" ref="T16:V16" si="15">T15*0.2</f>
        <v>40394.508680998551</v>
      </c>
      <c r="U16" s="2">
        <f t="shared" si="15"/>
        <v>54087.053540007328</v>
      </c>
      <c r="V16" s="2">
        <f t="shared" si="15"/>
        <v>72434.231889228482</v>
      </c>
    </row>
    <row r="17" spans="1:143" s="4" customFormat="1" x14ac:dyDescent="0.2">
      <c r="B17" s="4" t="s">
        <v>18</v>
      </c>
      <c r="C17" s="4">
        <f>C15-C16</f>
        <v>14881</v>
      </c>
      <c r="D17" s="4">
        <f t="shared" ref="D17:J17" si="16">D15-D16</f>
        <v>0</v>
      </c>
      <c r="E17" s="4">
        <f t="shared" si="16"/>
        <v>0</v>
      </c>
      <c r="F17" s="4">
        <f t="shared" si="16"/>
        <v>39300</v>
      </c>
      <c r="G17" s="4">
        <f t="shared" si="16"/>
        <v>18689</v>
      </c>
      <c r="H17" s="4">
        <f t="shared" si="16"/>
        <v>20395.288</v>
      </c>
      <c r="I17" s="4">
        <f t="shared" si="16"/>
        <v>22668.382751999998</v>
      </c>
      <c r="J17" s="4">
        <f t="shared" si="16"/>
        <v>25184.038032767996</v>
      </c>
      <c r="L17" s="4">
        <f>L15-L16</f>
        <v>0</v>
      </c>
      <c r="M17" s="4">
        <f>M15-M16</f>
        <v>0</v>
      </c>
      <c r="N17" s="4">
        <f t="shared" ref="N17:Q17" si="17">N15-N16</f>
        <v>0</v>
      </c>
      <c r="O17" s="4">
        <f t="shared" si="17"/>
        <v>5721</v>
      </c>
      <c r="P17" s="4">
        <f t="shared" si="17"/>
        <v>29760</v>
      </c>
      <c r="Q17" s="4">
        <f t="shared" si="17"/>
        <v>72880</v>
      </c>
      <c r="R17" s="4">
        <f>R15-R16</f>
        <v>86936.708784767994</v>
      </c>
      <c r="S17" s="4">
        <f t="shared" ref="S17:V17" si="18">S15-S16</f>
        <v>120702.33230070016</v>
      </c>
      <c r="T17" s="4">
        <f t="shared" si="18"/>
        <v>161578.03472399418</v>
      </c>
      <c r="U17" s="4">
        <f t="shared" si="18"/>
        <v>216348.21416002931</v>
      </c>
      <c r="V17" s="4">
        <f t="shared" si="18"/>
        <v>289736.92755691393</v>
      </c>
      <c r="W17" s="4">
        <f>V17*(1+$Y$55)</f>
        <v>292634.29683248309</v>
      </c>
      <c r="X17" s="4">
        <f>W17*(1+$Y$55)</f>
        <v>295560.63980080793</v>
      </c>
      <c r="Y17" s="4">
        <f>X17*(1+$Y$55)</f>
        <v>298516.24619881599</v>
      </c>
      <c r="Z17" s="4">
        <f>Y17*(1+$Y$55)</f>
        <v>301501.40866080415</v>
      </c>
      <c r="AA17" s="4">
        <f>Z17*(1+$Y$55)</f>
        <v>304516.42274741217</v>
      </c>
      <c r="AB17" s="4">
        <f>AA17*(1+$Y$55)</f>
        <v>307561.5869748863</v>
      </c>
      <c r="AC17" s="4">
        <f>AB17*(1+$Y$55)</f>
        <v>310637.20284463518</v>
      </c>
      <c r="AD17" s="4">
        <f>AC17*(1+$Y$55)</f>
        <v>313743.57487308152</v>
      </c>
      <c r="AE17" s="4">
        <f>AD17*(1+$Y$55)</f>
        <v>316881.01062181237</v>
      </c>
      <c r="AF17" s="4">
        <f>AE17*(1+$Y$55)</f>
        <v>320049.82072803052</v>
      </c>
      <c r="AG17" s="4">
        <f>AF17*(1+$Y$55)</f>
        <v>323250.31893531082</v>
      </c>
      <c r="AH17" s="4">
        <f>AG17*(1+$Y$55)</f>
        <v>326482.82212466392</v>
      </c>
      <c r="AI17" s="4">
        <f>AH17*(1+$Y$55)</f>
        <v>329747.65034591057</v>
      </c>
      <c r="AJ17" s="4">
        <f>AI17*(1+$Y$55)</f>
        <v>333045.12684936967</v>
      </c>
      <c r="AK17" s="4">
        <f>AJ17*(1+$Y$55)</f>
        <v>336375.57811786339</v>
      </c>
      <c r="AL17" s="4">
        <f>AK17*(1+$Y$55)</f>
        <v>339739.33389904205</v>
      </c>
      <c r="AM17" s="4">
        <f>AL17*(1+$Y$55)</f>
        <v>343136.72723803244</v>
      </c>
      <c r="AN17" s="4">
        <f>AM17*(1+$Y$55)</f>
        <v>346568.09451041277</v>
      </c>
      <c r="AO17" s="4">
        <f>AN17*(1+$Y$55)</f>
        <v>350033.77545551688</v>
      </c>
      <c r="AP17" s="4">
        <f>AO17*(1+$Y$55)</f>
        <v>353534.11321007204</v>
      </c>
      <c r="AQ17" s="4">
        <f>AP17*(1+$Y$55)</f>
        <v>357069.45434217277</v>
      </c>
      <c r="AR17" s="4">
        <f>AQ17*(1+$Y$55)</f>
        <v>360640.14888559451</v>
      </c>
      <c r="AS17" s="4">
        <f>AR17*(1+$Y$55)</f>
        <v>364246.55037445045</v>
      </c>
      <c r="AT17" s="4">
        <f>AS17*(1+$Y$55)</f>
        <v>367889.01587819494</v>
      </c>
      <c r="AU17" s="4">
        <f>AT17*(1+$Y$55)</f>
        <v>371567.9060369769</v>
      </c>
      <c r="AV17" s="4">
        <f>AU17*(1+$Y$55)</f>
        <v>375283.58509734669</v>
      </c>
      <c r="AW17" s="4">
        <f>AV17*(1+$Y$55)</f>
        <v>379036.42094832018</v>
      </c>
      <c r="AX17" s="4">
        <f>AW17*(1+$Y$55)</f>
        <v>382826.78515780339</v>
      </c>
      <c r="AY17" s="4">
        <f>AX17*(1+$Y$55)</f>
        <v>386655.0530093814</v>
      </c>
      <c r="AZ17" s="4">
        <f>AY17*(1+$Y$55)</f>
        <v>390521.60353947524</v>
      </c>
      <c r="BA17" s="4">
        <f>AZ17*(1+$Y$55)</f>
        <v>394426.81957486999</v>
      </c>
      <c r="BB17" s="4">
        <f>BA17*(1+$Y$55)</f>
        <v>398371.08777061867</v>
      </c>
      <c r="BC17" s="4">
        <f>BB17*(1+$Y$55)</f>
        <v>402354.79864832485</v>
      </c>
      <c r="BD17" s="4">
        <f>BC17*(1+$Y$55)</f>
        <v>406378.34663480811</v>
      </c>
      <c r="BE17" s="4">
        <f>BD17*(1+$Y$55)</f>
        <v>410442.13010115619</v>
      </c>
      <c r="BF17" s="4">
        <f>BE17*(1+$Y$55)</f>
        <v>414546.55140216777</v>
      </c>
      <c r="BG17" s="4">
        <f>BF17*(1+$Y$55)</f>
        <v>418692.01691618946</v>
      </c>
      <c r="BH17" s="4">
        <f>BG17*(1+$Y$55)</f>
        <v>422878.93708535138</v>
      </c>
      <c r="BI17" s="4">
        <f>BH17*(1+$Y$55)</f>
        <v>427107.72645620489</v>
      </c>
      <c r="BJ17" s="4">
        <f>BI17*(1+$Y$55)</f>
        <v>431378.80372076697</v>
      </c>
      <c r="BK17" s="4">
        <f>BJ17*(1+$Y$55)</f>
        <v>435692.59175797465</v>
      </c>
      <c r="BL17" s="4">
        <f>BK17*(1+$Y$55)</f>
        <v>440049.51767555438</v>
      </c>
      <c r="BM17" s="4">
        <f>BL17*(1+$Y$55)</f>
        <v>444450.01285230991</v>
      </c>
      <c r="BN17" s="4">
        <f>BM17*(1+$Y$55)</f>
        <v>448894.51298083301</v>
      </c>
      <c r="BO17" s="4">
        <f>BN17*(1+$Y$55)</f>
        <v>453383.45811064134</v>
      </c>
      <c r="BP17" s="4">
        <f>BO17*(1+$Y$55)</f>
        <v>457917.29269174777</v>
      </c>
      <c r="BQ17" s="4">
        <f>BP17*(1+$Y$55)</f>
        <v>462496.46561866527</v>
      </c>
      <c r="BR17" s="4">
        <f>BQ17*(1+$Y$55)</f>
        <v>467121.43027485191</v>
      </c>
      <c r="BS17" s="4">
        <f>BR17*(1+$Y$55)</f>
        <v>471792.64457760041</v>
      </c>
      <c r="BT17" s="4">
        <f>BS17*(1+$Y$55)</f>
        <v>476510.57102337643</v>
      </c>
      <c r="BU17" s="4">
        <f>BT17*(1+$Y$55)</f>
        <v>481275.67673361022</v>
      </c>
      <c r="BV17" s="4">
        <f>BU17*(1+$Y$55)</f>
        <v>486088.43350094632</v>
      </c>
      <c r="BW17" s="4">
        <f>BV17*(1+$Y$55)</f>
        <v>490949.31783595576</v>
      </c>
      <c r="BX17" s="4">
        <f>BW17*(1+$Y$55)</f>
        <v>495858.81101431535</v>
      </c>
      <c r="BY17" s="4">
        <f>BX17*(1+$Y$55)</f>
        <v>500817.39912445849</v>
      </c>
      <c r="BZ17" s="4">
        <f>BY17*(1+$Y$55)</f>
        <v>505825.57311570307</v>
      </c>
      <c r="CA17" s="4">
        <f>BZ17*(1+$Y$55)</f>
        <v>510883.82884686009</v>
      </c>
      <c r="CB17" s="4">
        <f>CA17*(1+$Y$55)</f>
        <v>515992.66713532869</v>
      </c>
      <c r="CC17" s="4">
        <f>CB17*(1+$Y$55)</f>
        <v>521152.59380668198</v>
      </c>
      <c r="CD17" s="4">
        <f>CC17*(1+$Y$55)</f>
        <v>526364.11974474881</v>
      </c>
      <c r="CE17" s="4">
        <f>CD17*(1+$Y$55)</f>
        <v>531627.76094219636</v>
      </c>
      <c r="CF17" s="4">
        <f>CE17*(1+$Y$55)</f>
        <v>536944.03855161835</v>
      </c>
      <c r="CG17" s="4">
        <f>CF17*(1+$Y$55)</f>
        <v>542313.4789371345</v>
      </c>
      <c r="CH17" s="4">
        <f>CG17*(1+$Y$55)</f>
        <v>547736.61372650589</v>
      </c>
      <c r="CI17" s="4">
        <f>CH17*(1+$Y$55)</f>
        <v>553213.979863771</v>
      </c>
      <c r="CJ17" s="4">
        <f>CI17*(1+$Y$55)</f>
        <v>558746.11966240872</v>
      </c>
      <c r="CK17" s="4">
        <f>CJ17*(1+$Y$55)</f>
        <v>564333.58085903281</v>
      </c>
      <c r="CL17" s="4">
        <f>CK17*(1+$Y$55)</f>
        <v>569976.9166676231</v>
      </c>
      <c r="CM17" s="4">
        <f>CL17*(1+$Y$55)</f>
        <v>575676.68583429931</v>
      </c>
      <c r="CN17" s="4">
        <f>CM17*(1+$Y$55)</f>
        <v>581433.45269264234</v>
      </c>
      <c r="CO17" s="4">
        <f>CN17*(1+$Y$55)</f>
        <v>587247.78721956874</v>
      </c>
      <c r="CP17" s="4">
        <f>CO17*(1+$Y$55)</f>
        <v>593120.26509176439</v>
      </c>
      <c r="CQ17" s="4">
        <f>CP17*(1+$Y$55)</f>
        <v>599051.46774268209</v>
      </c>
      <c r="CR17" s="4">
        <f>CQ17*(1+$Y$55)</f>
        <v>605041.98242010886</v>
      </c>
      <c r="CS17" s="4">
        <f>CR17*(1+$Y$55)</f>
        <v>611092.40224431001</v>
      </c>
      <c r="CT17" s="4">
        <f>CS17*(1+$Y$55)</f>
        <v>617203.32626675314</v>
      </c>
      <c r="CU17" s="4">
        <f>CT17*(1+$Y$55)</f>
        <v>623375.35952942062</v>
      </c>
      <c r="CV17" s="4">
        <f>CU17*(1+$Y$55)</f>
        <v>629609.11312471482</v>
      </c>
      <c r="CW17" s="4">
        <f>CV17*(1+$Y$55)</f>
        <v>635905.20425596193</v>
      </c>
      <c r="CX17" s="4">
        <f>CW17*(1+$Y$55)</f>
        <v>642264.25629852153</v>
      </c>
      <c r="CY17" s="4">
        <f>CX17*(1+$Y$55)</f>
        <v>648686.89886150672</v>
      </c>
      <c r="CZ17" s="4">
        <f>CY17*(1+$Y$55)</f>
        <v>655173.76785012183</v>
      </c>
      <c r="DA17" s="4">
        <f>CZ17*(1+$Y$55)</f>
        <v>661725.50552862301</v>
      </c>
      <c r="DB17" s="4">
        <f>DA17*(1+$Y$55)</f>
        <v>668342.76058390923</v>
      </c>
      <c r="DC17" s="4">
        <f>DB17*(1+$Y$55)</f>
        <v>675026.18818974833</v>
      </c>
      <c r="DD17" s="4">
        <f>DC17*(1+$Y$55)</f>
        <v>681776.45007164578</v>
      </c>
      <c r="DE17" s="4">
        <f>DD17*(1+$Y$55)</f>
        <v>688594.21457236225</v>
      </c>
      <c r="DF17" s="4">
        <f>DE17*(1+$Y$55)</f>
        <v>695480.15671808587</v>
      </c>
      <c r="DG17" s="4">
        <f>DF17*(1+$Y$55)</f>
        <v>702434.95828526677</v>
      </c>
      <c r="DH17" s="4">
        <f>DG17*(1+$Y$55)</f>
        <v>709459.30786811945</v>
      </c>
      <c r="DI17" s="4">
        <f>DH17*(1+$Y$55)</f>
        <v>716553.9009468006</v>
      </c>
      <c r="DJ17" s="4">
        <f>DI17*(1+$Y$55)</f>
        <v>723719.43995626864</v>
      </c>
      <c r="DK17" s="4">
        <f>DJ17*(1+$Y$55)</f>
        <v>730956.63435583131</v>
      </c>
      <c r="DL17" s="4">
        <f>DK17*(1+$Y$55)</f>
        <v>738266.20069938968</v>
      </c>
      <c r="DM17" s="4">
        <f>DL17*(1+$Y$55)</f>
        <v>745648.86270638357</v>
      </c>
      <c r="DN17" s="4">
        <f>DM17*(1+$Y$55)</f>
        <v>753105.35133344738</v>
      </c>
      <c r="DO17" s="4">
        <f>DN17*(1+$Y$55)</f>
        <v>760636.40484678186</v>
      </c>
      <c r="DP17" s="4">
        <f>DO17*(1+$Y$55)</f>
        <v>768242.7688952497</v>
      </c>
      <c r="DQ17" s="4">
        <f>DP17*(1+$Y$55)</f>
        <v>775925.19658420223</v>
      </c>
      <c r="DR17" s="4">
        <f>DQ17*(1+$Y$55)</f>
        <v>783684.44855004421</v>
      </c>
      <c r="DS17" s="4">
        <f>DR17*(1+$Y$55)</f>
        <v>791521.29303554469</v>
      </c>
      <c r="DT17" s="4">
        <f>DS17*(1+$Y$55)</f>
        <v>799436.50596590014</v>
      </c>
      <c r="DU17" s="4">
        <f>DT17*(1+$Y$55)</f>
        <v>807430.87102555914</v>
      </c>
      <c r="DV17" s="4">
        <f>DU17*(1+$Y$55)</f>
        <v>815505.17973581469</v>
      </c>
      <c r="DW17" s="4">
        <f>DV17*(1+$Y$55)</f>
        <v>823660.23153317289</v>
      </c>
      <c r="DX17" s="4">
        <f>DW17*(1+$Y$55)</f>
        <v>831896.83384850458</v>
      </c>
      <c r="DY17" s="4">
        <f>DX17*(1+$Y$55)</f>
        <v>840215.80218698969</v>
      </c>
      <c r="DZ17" s="4">
        <f>DY17*(1+$Y$55)</f>
        <v>848617.96020885964</v>
      </c>
      <c r="EA17" s="4">
        <f>DZ17*(1+$Y$55)</f>
        <v>857104.13981094828</v>
      </c>
      <c r="EB17" s="4">
        <f>EA17*(1+$Y$55)</f>
        <v>865675.1812090578</v>
      </c>
      <c r="EC17" s="4">
        <f>EB17*(1+$Y$55)</f>
        <v>874331.93302114843</v>
      </c>
      <c r="ED17" s="4">
        <f>EC17*(1+$Y$55)</f>
        <v>883075.25235135993</v>
      </c>
      <c r="EE17" s="4">
        <f>ED17*(1+$Y$55)</f>
        <v>891906.00487487356</v>
      </c>
      <c r="EF17" s="4">
        <f>EE17*(1+$Y$55)</f>
        <v>900825.0649236223</v>
      </c>
      <c r="EG17" s="4">
        <f>EF17*(1+$Y$55)</f>
        <v>909833.31557285856</v>
      </c>
      <c r="EH17" s="4">
        <f>EG17*(1+$Y$55)</f>
        <v>918931.6487285872</v>
      </c>
      <c r="EI17" s="4">
        <f>EH17*(1+$Y$55)</f>
        <v>928120.96521587309</v>
      </c>
      <c r="EJ17" s="4">
        <f>EI17*(1+$Y$55)</f>
        <v>937402.17486803187</v>
      </c>
      <c r="EK17" s="4">
        <f>EJ17*(1+$Y$55)</f>
        <v>946776.19661671214</v>
      </c>
      <c r="EL17" s="4">
        <f>EK17*(1+$Y$55)</f>
        <v>956243.95858287928</v>
      </c>
      <c r="EM17" s="4">
        <f>EL17*(1+$Y$55)</f>
        <v>965806.39816870808</v>
      </c>
    </row>
    <row r="18" spans="1:143" x14ac:dyDescent="0.2">
      <c r="B18" s="2" t="s">
        <v>1</v>
      </c>
      <c r="C18" s="2">
        <v>24890</v>
      </c>
      <c r="G18" s="2">
        <v>24611</v>
      </c>
      <c r="H18" s="2">
        <f>G18*0.995</f>
        <v>24487.945</v>
      </c>
      <c r="I18" s="2">
        <f t="shared" ref="I18:J18" si="19">H18*0.995</f>
        <v>24365.505275</v>
      </c>
      <c r="J18" s="2">
        <f t="shared" si="19"/>
        <v>24243.677748624999</v>
      </c>
      <c r="O18" s="2">
        <v>25070</v>
      </c>
      <c r="P18" s="2">
        <v>24940</v>
      </c>
      <c r="Q18" s="2">
        <v>24400</v>
      </c>
      <c r="R18" s="2">
        <f>J18</f>
        <v>24243.677748624999</v>
      </c>
      <c r="S18" s="2">
        <f t="shared" ref="S18:V18" si="20">R18*0.99</f>
        <v>24001.240971138748</v>
      </c>
      <c r="T18" s="2">
        <f t="shared" si="20"/>
        <v>23761.228561427361</v>
      </c>
      <c r="U18" s="2">
        <f t="shared" si="20"/>
        <v>23523.616275813085</v>
      </c>
      <c r="V18" s="2">
        <f t="shared" si="20"/>
        <v>23288.380113054955</v>
      </c>
    </row>
    <row r="19" spans="1:143" x14ac:dyDescent="0.2">
      <c r="B19" s="2" t="s">
        <v>19</v>
      </c>
      <c r="C19" s="5">
        <f>C17/C18</f>
        <v>0.5978706307754118</v>
      </c>
      <c r="D19" s="5" t="e">
        <f t="shared" ref="D19:J19" si="21">D17/D18</f>
        <v>#DIV/0!</v>
      </c>
      <c r="E19" s="5" t="e">
        <f t="shared" si="21"/>
        <v>#DIV/0!</v>
      </c>
      <c r="F19" s="5" t="e">
        <f t="shared" si="21"/>
        <v>#DIV/0!</v>
      </c>
      <c r="G19" s="5">
        <f t="shared" si="21"/>
        <v>0.75937588883019791</v>
      </c>
      <c r="H19" s="5">
        <f t="shared" si="21"/>
        <v>0.83287054099476299</v>
      </c>
      <c r="I19" s="5">
        <f t="shared" si="21"/>
        <v>0.93034732898638806</v>
      </c>
      <c r="J19" s="5">
        <f t="shared" si="21"/>
        <v>1.03878785611215</v>
      </c>
      <c r="O19" s="5">
        <f>O17/O18</f>
        <v>0.22820103709613082</v>
      </c>
      <c r="P19" s="5">
        <f>P17/P18</f>
        <v>1.1932638331996792</v>
      </c>
      <c r="Q19" s="5">
        <f>Q17/Q18</f>
        <v>2.9868852459016395</v>
      </c>
      <c r="R19" s="5">
        <f t="shared" ref="R19:V19" si="22">R17/R18</f>
        <v>3.5859538179886377</v>
      </c>
      <c r="S19" s="5">
        <f t="shared" si="22"/>
        <v>5.0290038105047783</v>
      </c>
      <c r="T19" s="5">
        <f t="shared" si="22"/>
        <v>6.8000707247221577</v>
      </c>
      <c r="U19" s="5">
        <f t="shared" si="22"/>
        <v>9.1970644148994189</v>
      </c>
      <c r="V19" s="5">
        <f t="shared" si="22"/>
        <v>12.441265822284212</v>
      </c>
    </row>
    <row r="20" spans="1:143" x14ac:dyDescent="0.2">
      <c r="K20" s="5"/>
      <c r="O20" s="6"/>
      <c r="P20" s="6"/>
      <c r="Q20" s="6"/>
      <c r="R20" s="6"/>
      <c r="S20" s="6"/>
      <c r="T20" s="6"/>
      <c r="U20" s="6"/>
      <c r="V20" s="6"/>
    </row>
    <row r="21" spans="1:143" s="4" customFormat="1" x14ac:dyDescent="0.2">
      <c r="B21" s="4" t="s">
        <v>20</v>
      </c>
      <c r="G21" s="7">
        <f>G6/C6-1</f>
        <v>0.68852710797112571</v>
      </c>
      <c r="H21" s="7" t="e">
        <f t="shared" ref="H21:J21" si="23">H6/D6-1</f>
        <v>#DIV/0!</v>
      </c>
      <c r="I21" s="7" t="e">
        <f t="shared" si="23"/>
        <v>#DIV/0!</v>
      </c>
      <c r="J21" s="7">
        <f t="shared" si="23"/>
        <v>0.36525190839694655</v>
      </c>
      <c r="M21" s="7" t="e">
        <f t="shared" ref="M21:V21" si="24">M6/L6-1</f>
        <v>#DIV/0!</v>
      </c>
      <c r="N21" s="7" t="e">
        <f t="shared" si="24"/>
        <v>#DIV/0!</v>
      </c>
      <c r="O21" s="7" t="e">
        <f t="shared" si="24"/>
        <v>#DIV/0!</v>
      </c>
      <c r="P21" s="7">
        <f t="shared" si="24"/>
        <v>1.2585452658115224</v>
      </c>
      <c r="Q21" s="7">
        <f t="shared" si="24"/>
        <v>1.1420340763599355</v>
      </c>
      <c r="R21" s="7">
        <f t="shared" si="24"/>
        <v>0.48133980091496342</v>
      </c>
      <c r="S21" s="7">
        <f t="shared" si="24"/>
        <v>0.34000000000000008</v>
      </c>
      <c r="T21" s="7">
        <f t="shared" si="24"/>
        <v>0.34000000000000008</v>
      </c>
      <c r="U21" s="7">
        <f t="shared" si="24"/>
        <v>0.34000000000000008</v>
      </c>
      <c r="V21" s="7">
        <f t="shared" si="24"/>
        <v>0.34000000000000008</v>
      </c>
    </row>
    <row r="22" spans="1:143" x14ac:dyDescent="0.2">
      <c r="B22" s="2" t="s">
        <v>21</v>
      </c>
      <c r="G22" s="6">
        <f>G6/F6-1</f>
        <v>0.11898218829516538</v>
      </c>
      <c r="H22" s="6">
        <f t="shared" ref="H22:J22" si="25">H6/G6-1</f>
        <v>4.6025104602510414E-2</v>
      </c>
      <c r="I22" s="6">
        <f t="shared" si="25"/>
        <v>8.0000000000000071E-2</v>
      </c>
      <c r="J22" s="6">
        <f t="shared" si="25"/>
        <v>8.0000000000000071E-2</v>
      </c>
    </row>
    <row r="24" spans="1:143" s="4" customFormat="1" x14ac:dyDescent="0.2">
      <c r="B24" s="4" t="s">
        <v>22</v>
      </c>
      <c r="C24" s="7">
        <f>C8/C6</f>
        <v>0.78352019659038552</v>
      </c>
      <c r="D24" s="7" t="e">
        <f>D8/D6</f>
        <v>#DIV/0!</v>
      </c>
      <c r="E24" s="7" t="e">
        <f>E8/E6</f>
        <v>#DIV/0!</v>
      </c>
      <c r="F24" s="7">
        <f>F8/F6</f>
        <v>1</v>
      </c>
      <c r="G24" s="7">
        <f>G8/G6</f>
        <v>0.604466072403129</v>
      </c>
      <c r="H24" s="7">
        <v>0.72</v>
      </c>
      <c r="I24" s="7">
        <f>H24*1.02</f>
        <v>0.73439999999999994</v>
      </c>
      <c r="J24" s="7">
        <f>I24*1.02</f>
        <v>0.74908799999999998</v>
      </c>
      <c r="M24" s="7" t="e">
        <f>M8/M6</f>
        <v>#DIV/0!</v>
      </c>
      <c r="N24" s="7" t="e">
        <f>N8/N6</f>
        <v>#DIV/0!</v>
      </c>
      <c r="O24" s="7">
        <f>O8/O6</f>
        <v>0.56928894490991322</v>
      </c>
      <c r="P24" s="7">
        <f>P8/P6</f>
        <v>0.72717573290436954</v>
      </c>
      <c r="Q24" s="7">
        <f>Q8/Q6</f>
        <v>0.74988697058169917</v>
      </c>
      <c r="R24" s="7">
        <f>R8/R6</f>
        <v>0.70549157824514352</v>
      </c>
      <c r="S24" s="7">
        <v>0.74</v>
      </c>
      <c r="T24" s="7">
        <v>0.74</v>
      </c>
      <c r="U24" s="7">
        <v>0.74</v>
      </c>
      <c r="V24" s="7">
        <v>0.74</v>
      </c>
    </row>
    <row r="25" spans="1:143" x14ac:dyDescent="0.2">
      <c r="A25" s="4"/>
      <c r="B25" s="2" t="s">
        <v>40</v>
      </c>
      <c r="C25" s="6">
        <f>C12/C6</f>
        <v>0.64924742743050223</v>
      </c>
      <c r="D25" s="6" t="e">
        <f>D12/D6</f>
        <v>#DIV/0!</v>
      </c>
      <c r="E25" s="6" t="e">
        <f>E12/E6</f>
        <v>#DIV/0!</v>
      </c>
      <c r="F25" s="6">
        <f>F12/F6</f>
        <v>1</v>
      </c>
      <c r="G25" s="6">
        <f>G12/G6</f>
        <v>0.49008550118246313</v>
      </c>
      <c r="H25" s="6">
        <f>H12/H6</f>
        <v>0.55000000000000004</v>
      </c>
      <c r="I25" s="6">
        <f>I12/I6</f>
        <v>0.56440000000000001</v>
      </c>
      <c r="J25" s="6">
        <f>J12/J6</f>
        <v>0.57908799999999994</v>
      </c>
      <c r="M25" s="6"/>
      <c r="N25" s="6"/>
      <c r="O25" s="6">
        <f>O12/O6</f>
        <v>0.20675465262845702</v>
      </c>
      <c r="P25" s="6">
        <f>P12/P6</f>
        <v>0.54121663766783756</v>
      </c>
      <c r="Q25" s="6">
        <f>Q12/Q6</f>
        <v>0.62417526839697468</v>
      </c>
      <c r="R25" s="6">
        <f>R12/R6</f>
        <v>0.54814438947516531</v>
      </c>
      <c r="S25" s="6">
        <f>S12/S6</f>
        <v>0.57999999999999985</v>
      </c>
      <c r="T25" s="6">
        <f>T12/T6</f>
        <v>0.57999999999999996</v>
      </c>
      <c r="U25" s="6">
        <f>U12/U6</f>
        <v>0.57999999999999996</v>
      </c>
      <c r="V25" s="6">
        <f>V12/V6</f>
        <v>0.57999999999999996</v>
      </c>
    </row>
    <row r="26" spans="1:143" s="4" customFormat="1" x14ac:dyDescent="0.2">
      <c r="B26" s="2" t="s">
        <v>47</v>
      </c>
      <c r="C26" s="6">
        <f>C11/C6</f>
        <v>0.13427276915988329</v>
      </c>
      <c r="D26" s="6" t="e">
        <f>D11/D6</f>
        <v>#DIV/0!</v>
      </c>
      <c r="E26" s="6" t="e">
        <f>E11/E6</f>
        <v>#DIV/0!</v>
      </c>
      <c r="F26" s="6">
        <f>F11/F6</f>
        <v>0</v>
      </c>
      <c r="G26" s="6">
        <f>G11/G6</f>
        <v>0.11438057122066582</v>
      </c>
      <c r="H26" s="6">
        <v>0.17</v>
      </c>
      <c r="I26" s="6">
        <v>0.17</v>
      </c>
      <c r="J26" s="6">
        <v>0.17</v>
      </c>
      <c r="M26" s="7"/>
      <c r="N26" s="7"/>
      <c r="O26" s="6">
        <f>O11/O6</f>
        <v>0.36253429228145623</v>
      </c>
      <c r="P26" s="6">
        <f>P11/P6</f>
        <v>0.18595909523653195</v>
      </c>
      <c r="Q26" s="6">
        <f>Q11/Q6</f>
        <v>0.12571170218472455</v>
      </c>
      <c r="R26" s="6">
        <f>R11/R6</f>
        <v>0.15734718876997822</v>
      </c>
      <c r="S26" s="6">
        <v>0.16</v>
      </c>
      <c r="T26" s="6">
        <v>0.16</v>
      </c>
      <c r="U26" s="6">
        <v>0.16</v>
      </c>
      <c r="V26" s="6">
        <v>0.16</v>
      </c>
    </row>
    <row r="27" spans="1:143" s="4" customFormat="1" x14ac:dyDescent="0.2">
      <c r="B27" s="2" t="s">
        <v>48</v>
      </c>
      <c r="H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9" spans="1:143" x14ac:dyDescent="0.2">
      <c r="B29" s="2" t="s">
        <v>27</v>
      </c>
      <c r="C29" s="2">
        <f>C31-C37</f>
        <v>44747</v>
      </c>
      <c r="G29" s="2">
        <f>G31-SUM(G37:G39)</f>
        <v>38822</v>
      </c>
      <c r="H29" s="2">
        <f>G29+H17</f>
        <v>59217.288</v>
      </c>
      <c r="I29" s="2">
        <f>H29+I17</f>
        <v>81885.670752000005</v>
      </c>
      <c r="J29" s="2">
        <f>I29+J17</f>
        <v>107069.70878476801</v>
      </c>
      <c r="Q29" s="2">
        <f>Q31-Q37</f>
        <v>30502</v>
      </c>
      <c r="R29" s="2">
        <f>Q29+R13</f>
        <v>31853.624793759998</v>
      </c>
      <c r="S29" s="2">
        <f>R29+S13</f>
        <v>32490.697289635198</v>
      </c>
      <c r="T29" s="2">
        <f>S29+T13</f>
        <v>33140.511235427904</v>
      </c>
      <c r="U29" s="2">
        <f>T29+U13</f>
        <v>33803.32146013646</v>
      </c>
      <c r="V29" s="2">
        <f>U29+V13</f>
        <v>34479.387889339188</v>
      </c>
    </row>
    <row r="30" spans="1:143" x14ac:dyDescent="0.2">
      <c r="R30" s="6"/>
      <c r="S30" s="6"/>
      <c r="T30" s="6"/>
      <c r="U30" s="6"/>
      <c r="V30" s="6"/>
    </row>
    <row r="31" spans="1:143" x14ac:dyDescent="0.2">
      <c r="B31" s="2" t="s">
        <v>3</v>
      </c>
      <c r="C31" s="2">
        <v>53210</v>
      </c>
      <c r="G31" s="2">
        <v>53691</v>
      </c>
      <c r="Q31" s="2">
        <f>8589+34621</f>
        <v>43210</v>
      </c>
    </row>
    <row r="32" spans="1:143" x14ac:dyDescent="0.2">
      <c r="B32" s="2" t="s">
        <v>28</v>
      </c>
      <c r="C32" s="2">
        <v>23065</v>
      </c>
      <c r="G32" s="2">
        <v>22132</v>
      </c>
    </row>
    <row r="33" spans="1:22" x14ac:dyDescent="0.2">
      <c r="B33" s="2" t="s">
        <v>67</v>
      </c>
      <c r="C33" s="2">
        <v>10080</v>
      </c>
      <c r="G33" s="2">
        <v>11333</v>
      </c>
    </row>
    <row r="34" spans="1:22" x14ac:dyDescent="0.2">
      <c r="B34" s="2" t="s">
        <v>73</v>
      </c>
    </row>
    <row r="36" spans="1:22" x14ac:dyDescent="0.2">
      <c r="B36" s="2" t="s">
        <v>29</v>
      </c>
    </row>
    <row r="37" spans="1:22" x14ac:dyDescent="0.2">
      <c r="B37" s="2" t="s">
        <v>4</v>
      </c>
      <c r="C37" s="2">
        <v>8463</v>
      </c>
      <c r="G37" s="2">
        <v>8464</v>
      </c>
      <c r="Q37" s="2">
        <f>8463+4245</f>
        <v>12708</v>
      </c>
    </row>
    <row r="38" spans="1:22" x14ac:dyDescent="0.2">
      <c r="B38" s="2" t="s">
        <v>68</v>
      </c>
      <c r="C38" s="2">
        <v>1519</v>
      </c>
      <c r="G38" s="2">
        <v>1521</v>
      </c>
    </row>
    <row r="39" spans="1:22" x14ac:dyDescent="0.2">
      <c r="B39" s="2" t="s">
        <v>69</v>
      </c>
      <c r="C39" s="2">
        <v>4245</v>
      </c>
      <c r="G39" s="2">
        <v>4884</v>
      </c>
    </row>
    <row r="40" spans="1:22" x14ac:dyDescent="0.2">
      <c r="B40" s="2" t="s">
        <v>72</v>
      </c>
    </row>
    <row r="41" spans="1:22" x14ac:dyDescent="0.2">
      <c r="B41" s="2" t="s">
        <v>71</v>
      </c>
    </row>
    <row r="42" spans="1:22" x14ac:dyDescent="0.2">
      <c r="B42" s="2" t="s">
        <v>70</v>
      </c>
    </row>
    <row r="44" spans="1:22" x14ac:dyDescent="0.2">
      <c r="B44" s="2" t="s">
        <v>35</v>
      </c>
      <c r="M44" s="2">
        <f>M17</f>
        <v>0</v>
      </c>
      <c r="N44" s="2">
        <f>N17</f>
        <v>0</v>
      </c>
      <c r="O44" s="2">
        <f>O17</f>
        <v>5721</v>
      </c>
      <c r="P44" s="2">
        <f>P17</f>
        <v>29760</v>
      </c>
      <c r="Q44" s="2">
        <f>Q17</f>
        <v>72880</v>
      </c>
      <c r="R44" s="2">
        <f>R17</f>
        <v>86936.708784767994</v>
      </c>
      <c r="S44" s="2">
        <f>S17</f>
        <v>120702.33230070016</v>
      </c>
      <c r="T44" s="2">
        <f>T17</f>
        <v>161578.03472399418</v>
      </c>
      <c r="U44" s="2">
        <f>U17</f>
        <v>216348.21416002931</v>
      </c>
      <c r="V44" s="2">
        <f>V17</f>
        <v>289736.92755691393</v>
      </c>
    </row>
    <row r="45" spans="1:22" x14ac:dyDescent="0.2">
      <c r="B45" s="2" t="s">
        <v>36</v>
      </c>
      <c r="O45" s="2">
        <v>4368</v>
      </c>
      <c r="P45" s="2">
        <v>29760</v>
      </c>
      <c r="Q45" s="2">
        <v>72880</v>
      </c>
    </row>
    <row r="46" spans="1:22" x14ac:dyDescent="0.2">
      <c r="B46" s="2" t="s">
        <v>75</v>
      </c>
      <c r="P46" s="2">
        <v>3549</v>
      </c>
      <c r="Q46" s="2">
        <v>4737</v>
      </c>
      <c r="R46" s="2">
        <f>Q46*1.2</f>
        <v>5684.4</v>
      </c>
      <c r="S46" s="2">
        <f t="shared" ref="S46:V46" si="26">R46*1.2</f>
        <v>6821.28</v>
      </c>
      <c r="T46" s="2">
        <f t="shared" si="26"/>
        <v>8185.5359999999991</v>
      </c>
      <c r="U46" s="2">
        <f t="shared" si="26"/>
        <v>9822.6431999999986</v>
      </c>
      <c r="V46" s="2">
        <f t="shared" si="26"/>
        <v>11787.171839999997</v>
      </c>
    </row>
    <row r="47" spans="1:22" s="4" customFormat="1" x14ac:dyDescent="0.2">
      <c r="A47" s="2"/>
      <c r="B47" s="2" t="s">
        <v>76</v>
      </c>
      <c r="P47" s="2">
        <v>1508</v>
      </c>
      <c r="Q47" s="2">
        <v>1864</v>
      </c>
      <c r="R47" s="2">
        <f>Q47*(1+R21)</f>
        <v>2761.217388905492</v>
      </c>
      <c r="S47" s="2">
        <f>R47*(1+S21)</f>
        <v>3700.0313011333596</v>
      </c>
      <c r="T47" s="2">
        <f>S47*(1+T21)</f>
        <v>4958.0419435187023</v>
      </c>
      <c r="U47" s="2">
        <f>T47*(1+U21)</f>
        <v>6643.7762043150615</v>
      </c>
      <c r="V47" s="2">
        <f>U47*(1+V21)</f>
        <v>8902.6601137821835</v>
      </c>
    </row>
    <row r="48" spans="1:22" x14ac:dyDescent="0.2">
      <c r="B48" s="2" t="s">
        <v>77</v>
      </c>
      <c r="P48" s="2">
        <v>-2489</v>
      </c>
      <c r="Q48" s="2">
        <v>-4477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125" x14ac:dyDescent="0.2">
      <c r="B49" s="2" t="s">
        <v>78</v>
      </c>
      <c r="P49" s="2">
        <v>-238</v>
      </c>
      <c r="Q49" s="2">
        <v>-1030</v>
      </c>
      <c r="R49" s="2">
        <v>180</v>
      </c>
      <c r="S49" s="2">
        <v>0</v>
      </c>
      <c r="T49" s="2">
        <v>0</v>
      </c>
      <c r="U49" s="2">
        <v>0</v>
      </c>
      <c r="V49" s="2">
        <v>0</v>
      </c>
    </row>
    <row r="50" spans="1:125" x14ac:dyDescent="0.2">
      <c r="B50" s="2" t="s">
        <v>15</v>
      </c>
      <c r="P50" s="2">
        <v>-278</v>
      </c>
      <c r="Q50" s="2">
        <v>-502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125" x14ac:dyDescent="0.2">
      <c r="B51" s="2" t="s">
        <v>28</v>
      </c>
      <c r="P51" s="2">
        <v>-6172</v>
      </c>
      <c r="Q51" s="2">
        <v>-13063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125" x14ac:dyDescent="0.2">
      <c r="B52" s="2" t="s">
        <v>67</v>
      </c>
      <c r="P52" s="2">
        <v>-98</v>
      </c>
      <c r="Q52" s="2">
        <v>-4781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125" x14ac:dyDescent="0.2">
      <c r="B53" s="2" t="s">
        <v>79</v>
      </c>
      <c r="P53" s="2">
        <v>-1522</v>
      </c>
      <c r="Q53" s="2">
        <v>-395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125" x14ac:dyDescent="0.2">
      <c r="B54" s="2" t="s">
        <v>29</v>
      </c>
      <c r="P54" s="2">
        <v>1531</v>
      </c>
      <c r="Q54" s="2">
        <v>3357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X54" s="2" t="s">
        <v>32</v>
      </c>
      <c r="Y54" s="8">
        <v>0.02</v>
      </c>
    </row>
    <row r="55" spans="1:125" x14ac:dyDescent="0.2">
      <c r="B55" s="2" t="s">
        <v>80</v>
      </c>
      <c r="P55" s="2">
        <v>2025</v>
      </c>
      <c r="Q55" s="2">
        <v>4278</v>
      </c>
      <c r="R55" s="2">
        <f>Q55*(1+R21)</f>
        <v>6337.1716683142131</v>
      </c>
      <c r="S55" s="2">
        <f>R55*(1+S21)</f>
        <v>8491.8100355410461</v>
      </c>
      <c r="T55" s="2">
        <f>S55*(1+T21)</f>
        <v>11379.025447625003</v>
      </c>
      <c r="U55" s="2">
        <f>T55*(1+U21)</f>
        <v>15247.894099817504</v>
      </c>
      <c r="V55" s="2">
        <f>U55*(1+V21)</f>
        <v>20432.178093755458</v>
      </c>
      <c r="X55" s="2" t="s">
        <v>31</v>
      </c>
      <c r="Y55" s="8">
        <v>0.01</v>
      </c>
    </row>
    <row r="56" spans="1:125" x14ac:dyDescent="0.2">
      <c r="B56" s="2" t="s">
        <v>69</v>
      </c>
      <c r="P56" s="2">
        <v>514</v>
      </c>
      <c r="Q56" s="2">
        <v>1221</v>
      </c>
      <c r="R56" s="2">
        <f>Q56*(1+R21)</f>
        <v>1808.7158969171703</v>
      </c>
      <c r="S56" s="2">
        <f>R56*(1+S21)</f>
        <v>2423.6793018690082</v>
      </c>
      <c r="T56" s="2">
        <f>S56*(1+T21)</f>
        <v>3247.7302645044711</v>
      </c>
      <c r="U56" s="2">
        <f>T56*(1+U21)</f>
        <v>4351.9585544359916</v>
      </c>
      <c r="V56" s="2">
        <f>U56*(1+V21)</f>
        <v>5831.624462944229</v>
      </c>
      <c r="X56" s="2" t="s">
        <v>33</v>
      </c>
      <c r="Y56" s="8">
        <v>9.5000000000000001E-2</v>
      </c>
    </row>
    <row r="57" spans="1:125" x14ac:dyDescent="0.2">
      <c r="B57" s="2" t="s">
        <v>50</v>
      </c>
      <c r="P57" s="2">
        <f>SUM(P45:P56)</f>
        <v>28090</v>
      </c>
      <c r="Q57" s="2">
        <f>SUM(Q45:Q56)</f>
        <v>64089</v>
      </c>
      <c r="R57" s="2">
        <f>SUM(R46:R56,R44)</f>
        <v>103708.21373890487</v>
      </c>
      <c r="S57" s="2">
        <f t="shared" ref="S57:V57" si="27">SUM(S46:S56,S44)</f>
        <v>142139.13293924357</v>
      </c>
      <c r="T57" s="2">
        <f t="shared" si="27"/>
        <v>189348.36837964234</v>
      </c>
      <c r="U57" s="2">
        <f t="shared" si="27"/>
        <v>252414.48621859786</v>
      </c>
      <c r="V57" s="2">
        <f t="shared" si="27"/>
        <v>336690.56206739577</v>
      </c>
      <c r="X57" s="2" t="s">
        <v>30</v>
      </c>
      <c r="Y57" s="2">
        <f>NPV(Y56,R62:DU62)+main!O5-main!O6</f>
        <v>3175706.3364186483</v>
      </c>
    </row>
    <row r="58" spans="1:125" x14ac:dyDescent="0.2">
      <c r="X58" s="2" t="s">
        <v>0</v>
      </c>
      <c r="Y58" s="5">
        <f>Y57/main!O3</f>
        <v>130.15189903355116</v>
      </c>
    </row>
    <row r="59" spans="1:125" x14ac:dyDescent="0.2">
      <c r="B59" s="2" t="s">
        <v>81</v>
      </c>
      <c r="P59" s="2">
        <v>-1069</v>
      </c>
      <c r="Q59" s="2">
        <v>-3236</v>
      </c>
      <c r="X59" s="2" t="s">
        <v>34</v>
      </c>
      <c r="Y59" s="6">
        <f>Y58/main!O2-1</f>
        <v>-0.10240069632033677</v>
      </c>
    </row>
    <row r="60" spans="1:125" x14ac:dyDescent="0.2">
      <c r="B60" s="2" t="s">
        <v>82</v>
      </c>
      <c r="P60" s="2">
        <f>P59</f>
        <v>-1069</v>
      </c>
      <c r="Q60" s="2">
        <f>Q59</f>
        <v>-3236</v>
      </c>
      <c r="R60" s="2">
        <f>Q60*(1+R21)</f>
        <v>-4793.6155957608216</v>
      </c>
      <c r="S60" s="2">
        <f>R60*(1+S21)</f>
        <v>-6423.4448983195016</v>
      </c>
      <c r="T60" s="2">
        <f>S60*(1+T21)</f>
        <v>-8607.416163748132</v>
      </c>
      <c r="U60" s="2">
        <f>T60*(1+U21)</f>
        <v>-11533.937659422498</v>
      </c>
      <c r="V60" s="2">
        <f>U60*(1+V21)</f>
        <v>-15455.476463626148</v>
      </c>
    </row>
    <row r="62" spans="1:125" s="4" customFormat="1" x14ac:dyDescent="0.2">
      <c r="A62" s="2"/>
      <c r="B62" s="4" t="s">
        <v>51</v>
      </c>
      <c r="P62" s="4">
        <f>P57+P60</f>
        <v>27021</v>
      </c>
      <c r="Q62" s="4">
        <f>Q57+Q60</f>
        <v>60853</v>
      </c>
      <c r="R62" s="4">
        <f t="shared" ref="R62:V62" si="28">R57+R60</f>
        <v>98914.598143144045</v>
      </c>
      <c r="S62" s="4">
        <f t="shared" si="28"/>
        <v>135715.68804092408</v>
      </c>
      <c r="T62" s="4">
        <f t="shared" si="28"/>
        <v>180740.95221589421</v>
      </c>
      <c r="U62" s="4">
        <f t="shared" si="28"/>
        <v>240880.54855917537</v>
      </c>
      <c r="V62" s="4">
        <f t="shared" si="28"/>
        <v>321235.08560376964</v>
      </c>
      <c r="W62" s="4">
        <f t="shared" ref="W62:BB62" si="29">V62*(1+$Y$55)</f>
        <v>324447.43645980733</v>
      </c>
      <c r="X62" s="4">
        <f t="shared" si="29"/>
        <v>327691.91082440538</v>
      </c>
      <c r="Y62" s="4">
        <f t="shared" si="29"/>
        <v>330968.82993264945</v>
      </c>
      <c r="Z62" s="4">
        <f t="shared" si="29"/>
        <v>334278.51823197596</v>
      </c>
      <c r="AA62" s="4">
        <f t="shared" si="29"/>
        <v>337621.30341429572</v>
      </c>
      <c r="AB62" s="4">
        <f t="shared" si="29"/>
        <v>340997.51644843869</v>
      </c>
      <c r="AC62" s="4">
        <f t="shared" si="29"/>
        <v>344407.4916129231</v>
      </c>
      <c r="AD62" s="4">
        <f t="shared" si="29"/>
        <v>347851.56652905233</v>
      </c>
      <c r="AE62" s="4">
        <f t="shared" si="29"/>
        <v>351330.08219434286</v>
      </c>
      <c r="AF62" s="4">
        <f t="shared" si="29"/>
        <v>354843.3830162863</v>
      </c>
      <c r="AG62" s="4">
        <f t="shared" si="29"/>
        <v>358391.81684644916</v>
      </c>
      <c r="AH62" s="4">
        <f t="shared" si="29"/>
        <v>361975.73501491366</v>
      </c>
      <c r="AI62" s="4">
        <f t="shared" si="29"/>
        <v>365595.49236506282</v>
      </c>
      <c r="AJ62" s="4">
        <f t="shared" si="29"/>
        <v>369251.44728871348</v>
      </c>
      <c r="AK62" s="4">
        <f t="shared" si="29"/>
        <v>372943.96176160063</v>
      </c>
      <c r="AL62" s="4">
        <f t="shared" si="29"/>
        <v>376673.40137921664</v>
      </c>
      <c r="AM62" s="4">
        <f t="shared" si="29"/>
        <v>380440.13539300882</v>
      </c>
      <c r="AN62" s="4">
        <f t="shared" si="29"/>
        <v>384244.53674693889</v>
      </c>
      <c r="AO62" s="4">
        <f t="shared" si="29"/>
        <v>388086.98211440828</v>
      </c>
      <c r="AP62" s="4">
        <f t="shared" si="29"/>
        <v>391967.85193555237</v>
      </c>
      <c r="AQ62" s="4">
        <f t="shared" si="29"/>
        <v>395887.53045490792</v>
      </c>
      <c r="AR62" s="4">
        <f t="shared" si="29"/>
        <v>399846.40575945697</v>
      </c>
      <c r="AS62" s="4">
        <f t="shared" si="29"/>
        <v>403844.86981705157</v>
      </c>
      <c r="AT62" s="4">
        <f t="shared" si="29"/>
        <v>407883.31851522211</v>
      </c>
      <c r="AU62" s="4">
        <f t="shared" si="29"/>
        <v>411962.15170037432</v>
      </c>
      <c r="AV62" s="4">
        <f t="shared" si="29"/>
        <v>416081.77321737807</v>
      </c>
      <c r="AW62" s="4">
        <f t="shared" si="29"/>
        <v>420242.59094955184</v>
      </c>
      <c r="AX62" s="4">
        <f t="shared" si="29"/>
        <v>424445.01685904735</v>
      </c>
      <c r="AY62" s="4">
        <f t="shared" si="29"/>
        <v>428689.46702763782</v>
      </c>
      <c r="AZ62" s="4">
        <f t="shared" si="29"/>
        <v>432976.3616979142</v>
      </c>
      <c r="BA62" s="4">
        <f t="shared" si="29"/>
        <v>437306.12531489332</v>
      </c>
      <c r="BB62" s="4">
        <f t="shared" si="29"/>
        <v>441679.18656804226</v>
      </c>
      <c r="BC62" s="4">
        <f t="shared" ref="BC62:CH62" si="30">BB62*(1+$Y$55)</f>
        <v>446095.97843372269</v>
      </c>
      <c r="BD62" s="4">
        <f t="shared" si="30"/>
        <v>450556.93821805989</v>
      </c>
      <c r="BE62" s="4">
        <f t="shared" si="30"/>
        <v>455062.50760024047</v>
      </c>
      <c r="BF62" s="4">
        <f t="shared" si="30"/>
        <v>459613.13267624285</v>
      </c>
      <c r="BG62" s="4">
        <f t="shared" si="30"/>
        <v>464209.26400300529</v>
      </c>
      <c r="BH62" s="4">
        <f t="shared" si="30"/>
        <v>468851.35664303537</v>
      </c>
      <c r="BI62" s="4">
        <f t="shared" si="30"/>
        <v>473539.87020946573</v>
      </c>
      <c r="BJ62" s="4">
        <f t="shared" si="30"/>
        <v>478275.26891156042</v>
      </c>
      <c r="BK62" s="4">
        <f t="shared" si="30"/>
        <v>483058.021600676</v>
      </c>
      <c r="BL62" s="4">
        <f t="shared" si="30"/>
        <v>487888.60181668279</v>
      </c>
      <c r="BM62" s="4">
        <f t="shared" si="30"/>
        <v>492767.48783484963</v>
      </c>
      <c r="BN62" s="4">
        <f t="shared" si="30"/>
        <v>497695.16271319811</v>
      </c>
      <c r="BO62" s="4">
        <f t="shared" si="30"/>
        <v>502672.11434033007</v>
      </c>
      <c r="BP62" s="4">
        <f t="shared" si="30"/>
        <v>507698.83548373339</v>
      </c>
      <c r="BQ62" s="4">
        <f t="shared" si="30"/>
        <v>512775.82383857074</v>
      </c>
      <c r="BR62" s="4">
        <f t="shared" si="30"/>
        <v>517903.58207695646</v>
      </c>
      <c r="BS62" s="4">
        <f t="shared" si="30"/>
        <v>523082.61789772601</v>
      </c>
      <c r="BT62" s="4">
        <f t="shared" si="30"/>
        <v>528313.44407670328</v>
      </c>
      <c r="BU62" s="4">
        <f t="shared" si="30"/>
        <v>533596.57851747028</v>
      </c>
      <c r="BV62" s="4">
        <f t="shared" si="30"/>
        <v>538932.54430264502</v>
      </c>
      <c r="BW62" s="4">
        <f t="shared" si="30"/>
        <v>544321.86974567152</v>
      </c>
      <c r="BX62" s="4">
        <f t="shared" si="30"/>
        <v>549765.08844312828</v>
      </c>
      <c r="BY62" s="4">
        <f t="shared" si="30"/>
        <v>555262.7393275596</v>
      </c>
      <c r="BZ62" s="4">
        <f t="shared" si="30"/>
        <v>560815.36672083521</v>
      </c>
      <c r="CA62" s="4">
        <f t="shared" si="30"/>
        <v>566423.5203880436</v>
      </c>
      <c r="CB62" s="4">
        <f t="shared" si="30"/>
        <v>572087.75559192407</v>
      </c>
      <c r="CC62" s="4">
        <f t="shared" si="30"/>
        <v>577808.6331478433</v>
      </c>
      <c r="CD62" s="4">
        <f t="shared" si="30"/>
        <v>583586.71947932173</v>
      </c>
      <c r="CE62" s="4">
        <f t="shared" si="30"/>
        <v>589422.58667411492</v>
      </c>
      <c r="CF62" s="4">
        <f t="shared" si="30"/>
        <v>595316.81254085607</v>
      </c>
      <c r="CG62" s="4">
        <f t="shared" si="30"/>
        <v>601269.98066626466</v>
      </c>
      <c r="CH62" s="4">
        <f t="shared" si="30"/>
        <v>607282.68047292728</v>
      </c>
      <c r="CI62" s="4">
        <f t="shared" ref="CI62:DN62" si="31">CH62*(1+$Y$55)</f>
        <v>613355.50727765658</v>
      </c>
      <c r="CJ62" s="4">
        <f t="shared" si="31"/>
        <v>619489.0623504332</v>
      </c>
      <c r="CK62" s="4">
        <f t="shared" si="31"/>
        <v>625683.9529739375</v>
      </c>
      <c r="CL62" s="4">
        <f t="shared" si="31"/>
        <v>631940.79250367684</v>
      </c>
      <c r="CM62" s="4">
        <f t="shared" si="31"/>
        <v>638260.20042871358</v>
      </c>
      <c r="CN62" s="4">
        <f t="shared" si="31"/>
        <v>644642.80243300076</v>
      </c>
      <c r="CO62" s="4">
        <f t="shared" si="31"/>
        <v>651089.23045733082</v>
      </c>
      <c r="CP62" s="4">
        <f t="shared" si="31"/>
        <v>657600.12276190415</v>
      </c>
      <c r="CQ62" s="4">
        <f t="shared" si="31"/>
        <v>664176.12398952316</v>
      </c>
      <c r="CR62" s="4">
        <f t="shared" si="31"/>
        <v>670817.8852294184</v>
      </c>
      <c r="CS62" s="4">
        <f t="shared" si="31"/>
        <v>677526.06408171263</v>
      </c>
      <c r="CT62" s="4">
        <f t="shared" si="31"/>
        <v>684301.32472252974</v>
      </c>
      <c r="CU62" s="4">
        <f t="shared" si="31"/>
        <v>691144.33796975506</v>
      </c>
      <c r="CV62" s="4">
        <f t="shared" si="31"/>
        <v>698055.78134945256</v>
      </c>
      <c r="CW62" s="4">
        <f t="shared" si="31"/>
        <v>705036.33916294714</v>
      </c>
      <c r="CX62" s="4">
        <f t="shared" si="31"/>
        <v>712086.70255457656</v>
      </c>
      <c r="CY62" s="4">
        <f t="shared" si="31"/>
        <v>719207.56958012236</v>
      </c>
      <c r="CZ62" s="4">
        <f t="shared" si="31"/>
        <v>726399.64527592354</v>
      </c>
      <c r="DA62" s="4">
        <f t="shared" si="31"/>
        <v>733663.64172868279</v>
      </c>
      <c r="DB62" s="4">
        <f t="shared" si="31"/>
        <v>741000.27814596961</v>
      </c>
      <c r="DC62" s="4">
        <f t="shared" si="31"/>
        <v>748410.28092742932</v>
      </c>
      <c r="DD62" s="4">
        <f t="shared" si="31"/>
        <v>755894.38373670366</v>
      </c>
      <c r="DE62" s="4">
        <f t="shared" si="31"/>
        <v>763453.32757407066</v>
      </c>
      <c r="DF62" s="4">
        <f t="shared" si="31"/>
        <v>771087.86084981135</v>
      </c>
      <c r="DG62" s="4">
        <f t="shared" si="31"/>
        <v>778798.73945830949</v>
      </c>
      <c r="DH62" s="4">
        <f t="shared" si="31"/>
        <v>786586.72685289255</v>
      </c>
      <c r="DI62" s="4">
        <f t="shared" si="31"/>
        <v>794452.59412142145</v>
      </c>
      <c r="DJ62" s="4">
        <f t="shared" si="31"/>
        <v>802397.12006263563</v>
      </c>
      <c r="DK62" s="4">
        <f t="shared" si="31"/>
        <v>810421.09126326197</v>
      </c>
      <c r="DL62" s="4">
        <f t="shared" si="31"/>
        <v>818525.30217589461</v>
      </c>
      <c r="DM62" s="4">
        <f t="shared" si="31"/>
        <v>826710.55519765359</v>
      </c>
      <c r="DN62" s="4">
        <f t="shared" si="31"/>
        <v>834977.66074963019</v>
      </c>
      <c r="DO62" s="4">
        <f t="shared" ref="DO62:DU62" si="32">DN62*(1+$Y$55)</f>
        <v>843327.4373571265</v>
      </c>
      <c r="DP62" s="4">
        <f t="shared" si="32"/>
        <v>851760.71173069777</v>
      </c>
      <c r="DQ62" s="4">
        <f t="shared" si="32"/>
        <v>860278.3188480048</v>
      </c>
      <c r="DR62" s="4">
        <f t="shared" si="32"/>
        <v>868881.10203648487</v>
      </c>
      <c r="DS62" s="4">
        <f t="shared" si="32"/>
        <v>877569.91305684973</v>
      </c>
      <c r="DT62" s="4">
        <f t="shared" si="32"/>
        <v>886345.61218741827</v>
      </c>
      <c r="DU62" s="4">
        <f t="shared" si="32"/>
        <v>895209.06830929243</v>
      </c>
    </row>
  </sheetData>
  <hyperlinks>
    <hyperlink ref="A1" location="Sheet1!A1" display="Main" xr:uid="{B4B00122-8A85-4496-941B-16C16C07E4D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2025-06-18T23:45:26Z</dcterms:modified>
</cp:coreProperties>
</file>