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6649F06-F1E1-4855-9B27-E154DD2E82E0}" xr6:coauthVersionLast="47" xr6:coauthVersionMax="47" xr10:uidLastSave="{00000000-0000-0000-0000-000000000000}"/>
  <bookViews>
    <workbookView xWindow="2115" yWindow="1260" windowWidth="21945" windowHeight="13935" activeTab="1" xr2:uid="{1048AAC9-095E-4978-9899-EC26626F8B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N13" i="2"/>
  <c r="D6" i="1"/>
  <c r="D5" i="1"/>
  <c r="D3" i="1"/>
  <c r="F32" i="2"/>
  <c r="F12" i="2"/>
  <c r="F14" i="2" s="1"/>
  <c r="G8" i="2"/>
  <c r="H8" i="2"/>
  <c r="I8" i="2"/>
  <c r="F8" i="2"/>
  <c r="G4" i="2"/>
  <c r="G21" i="2" s="1"/>
  <c r="H2" i="2"/>
  <c r="I2" i="2" s="1"/>
  <c r="G19" i="2"/>
  <c r="F19" i="2"/>
  <c r="G18" i="2"/>
  <c r="G20" i="2"/>
  <c r="M36" i="2"/>
  <c r="M34" i="2"/>
  <c r="N11" i="2"/>
  <c r="O11" i="2" s="1"/>
  <c r="P11" i="2" s="1"/>
  <c r="Q11" i="2" s="1"/>
  <c r="R11" i="2" s="1"/>
  <c r="S11" i="2" s="1"/>
  <c r="T11" i="2" s="1"/>
  <c r="U11" i="2" s="1"/>
  <c r="V11" i="2" s="1"/>
  <c r="W11" i="2" s="1"/>
  <c r="L29" i="2"/>
  <c r="L25" i="2" s="1"/>
  <c r="M29" i="2"/>
  <c r="M25" i="2" s="1"/>
  <c r="K29" i="2"/>
  <c r="K25" i="2" s="1"/>
  <c r="L8" i="2"/>
  <c r="L22" i="2" s="1"/>
  <c r="M8" i="2"/>
  <c r="M22" i="2" s="1"/>
  <c r="K8" i="2"/>
  <c r="K22" i="2" s="1"/>
  <c r="L18" i="2"/>
  <c r="M18" i="2"/>
  <c r="M19" i="2" s="1"/>
  <c r="L4" i="2"/>
  <c r="L21" i="2" s="1"/>
  <c r="M4" i="2"/>
  <c r="M21" i="2" s="1"/>
  <c r="N21" i="2" s="1"/>
  <c r="O21" i="2" s="1"/>
  <c r="P21" i="2" s="1"/>
  <c r="Q21" i="2" s="1"/>
  <c r="R21" i="2" s="1"/>
  <c r="K4" i="2"/>
  <c r="K21" i="2" s="1"/>
  <c r="F4" i="2"/>
  <c r="F21" i="2" s="1"/>
  <c r="B4" i="2"/>
  <c r="B21" i="2" s="1"/>
  <c r="C4" i="2"/>
  <c r="C21" i="2" s="1"/>
  <c r="D4" i="2"/>
  <c r="D21" i="2" s="1"/>
  <c r="E4" i="2"/>
  <c r="E21" i="2" s="1"/>
  <c r="F18" i="2"/>
  <c r="E20" i="2"/>
  <c r="F20" i="2"/>
  <c r="B20" i="2"/>
  <c r="B24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D4" i="1"/>
  <c r="D7" i="1" s="1"/>
  <c r="H18" i="2" l="1"/>
  <c r="N8" i="2"/>
  <c r="H19" i="2"/>
  <c r="H4" i="2"/>
  <c r="H9" i="2" s="1"/>
  <c r="H12" i="2" s="1"/>
  <c r="H13" i="2" s="1"/>
  <c r="H14" i="2" s="1"/>
  <c r="I19" i="2"/>
  <c r="I18" i="2"/>
  <c r="N2" i="2"/>
  <c r="O2" i="2" s="1"/>
  <c r="P2" i="2" s="1"/>
  <c r="Q2" i="2" s="1"/>
  <c r="R2" i="2" s="1"/>
  <c r="S2" i="2" s="1"/>
  <c r="T2" i="2" s="1"/>
  <c r="U2" i="2" s="1"/>
  <c r="V2" i="2" s="1"/>
  <c r="W2" i="2" s="1"/>
  <c r="I4" i="2"/>
  <c r="I9" i="2" s="1"/>
  <c r="I12" i="2" s="1"/>
  <c r="G9" i="2"/>
  <c r="G12" i="2" s="1"/>
  <c r="M32" i="2"/>
  <c r="N10" i="2" s="1"/>
  <c r="K9" i="2"/>
  <c r="M9" i="2"/>
  <c r="L9" i="2"/>
  <c r="O8" i="2" l="1"/>
  <c r="N22" i="2"/>
  <c r="G13" i="2"/>
  <c r="G14" i="2" s="1"/>
  <c r="N25" i="2"/>
  <c r="O25" i="2" s="1"/>
  <c r="N18" i="2"/>
  <c r="N19" i="2" s="1"/>
  <c r="I13" i="2"/>
  <c r="I14" i="2" s="1"/>
  <c r="L12" i="2"/>
  <c r="L20" i="2"/>
  <c r="L24" i="2" s="1"/>
  <c r="M12" i="2"/>
  <c r="M20" i="2"/>
  <c r="M24" i="2" s="1"/>
  <c r="K12" i="2"/>
  <c r="K20" i="2"/>
  <c r="K24" i="2" s="1"/>
  <c r="P8" i="2" l="1"/>
  <c r="O22" i="2"/>
  <c r="N7" i="2"/>
  <c r="N5" i="2"/>
  <c r="N6" i="2"/>
  <c r="O18" i="2"/>
  <c r="O19" i="2" s="1"/>
  <c r="P25" i="2"/>
  <c r="O29" i="2"/>
  <c r="K14" i="2"/>
  <c r="M14" i="2"/>
  <c r="L14" i="2"/>
  <c r="N3" i="2"/>
  <c r="N4" i="2" s="1"/>
  <c r="N9" i="2" s="1"/>
  <c r="O3" i="2"/>
  <c r="O4" i="2" s="1"/>
  <c r="O9" i="2" s="1"/>
  <c r="O20" i="2" s="1"/>
  <c r="O24" i="2" l="1"/>
  <c r="Q8" i="2"/>
  <c r="P22" i="2"/>
  <c r="Q25" i="2"/>
  <c r="P29" i="2"/>
  <c r="O5" i="2"/>
  <c r="P18" i="2"/>
  <c r="P19" i="2" s="1"/>
  <c r="O6" i="2"/>
  <c r="O7" i="2"/>
  <c r="N12" i="2"/>
  <c r="N14" i="2" s="1"/>
  <c r="N20" i="2"/>
  <c r="N24" i="2" s="1"/>
  <c r="P3" i="2"/>
  <c r="P4" i="2" s="1"/>
  <c r="P9" i="2" s="1"/>
  <c r="P20" i="2" s="1"/>
  <c r="P24" i="2" s="1"/>
  <c r="P7" i="2" l="1"/>
  <c r="P6" i="2"/>
  <c r="R8" i="2"/>
  <c r="Q22" i="2"/>
  <c r="Q18" i="2"/>
  <c r="P5" i="2"/>
  <c r="Q5" i="2" s="1"/>
  <c r="R25" i="2"/>
  <c r="Q29" i="2"/>
  <c r="N32" i="2"/>
  <c r="O10" i="2" s="1"/>
  <c r="O12" i="2" s="1"/>
  <c r="O14" i="2" s="1"/>
  <c r="O32" i="2" s="1"/>
  <c r="R3" i="2"/>
  <c r="R4" i="2" s="1"/>
  <c r="Q3" i="2"/>
  <c r="Q4" i="2" s="1"/>
  <c r="Q9" i="2" s="1"/>
  <c r="Q20" i="2" s="1"/>
  <c r="Q24" i="2" s="1"/>
  <c r="Q7" i="2" l="1"/>
  <c r="Q19" i="2"/>
  <c r="S8" i="2"/>
  <c r="T8" i="2" s="1"/>
  <c r="U8" i="2" s="1"/>
  <c r="V8" i="2" s="1"/>
  <c r="W8" i="2" s="1"/>
  <c r="R22" i="2"/>
  <c r="S25" i="2"/>
  <c r="R29" i="2"/>
  <c r="R18" i="2"/>
  <c r="S22" i="2"/>
  <c r="Q6" i="2"/>
  <c r="R9" i="2"/>
  <c r="R20" i="2" s="1"/>
  <c r="R24" i="2" s="1"/>
  <c r="P10" i="2"/>
  <c r="P12" i="2" s="1"/>
  <c r="P13" i="2" s="1"/>
  <c r="R6" i="2" l="1"/>
  <c r="R5" i="2"/>
  <c r="R19" i="2"/>
  <c r="T22" i="2"/>
  <c r="S18" i="2"/>
  <c r="S3" i="2"/>
  <c r="S4" i="2" s="1"/>
  <c r="S9" i="2" s="1"/>
  <c r="S20" i="2" s="1"/>
  <c r="T25" i="2"/>
  <c r="U25" i="2" s="1"/>
  <c r="S29" i="2"/>
  <c r="R7" i="2"/>
  <c r="S7" i="2" s="1"/>
  <c r="P14" i="2"/>
  <c r="P32" i="2" s="1"/>
  <c r="S24" i="2" l="1"/>
  <c r="S5" i="2"/>
  <c r="S19" i="2"/>
  <c r="T29" i="2"/>
  <c r="U22" i="2"/>
  <c r="T18" i="2"/>
  <c r="T19" i="2" s="1"/>
  <c r="T3" i="2"/>
  <c r="T4" i="2" s="1"/>
  <c r="T9" i="2" s="1"/>
  <c r="S6" i="2"/>
  <c r="Q10" i="2"/>
  <c r="Q12" i="2" s="1"/>
  <c r="Q13" i="2" l="1"/>
  <c r="Q14" i="2" s="1"/>
  <c r="Q32" i="2" s="1"/>
  <c r="T6" i="2"/>
  <c r="T7" i="2"/>
  <c r="T5" i="2"/>
  <c r="V22" i="2"/>
  <c r="U18" i="2"/>
  <c r="U3" i="2"/>
  <c r="U4" i="2" s="1"/>
  <c r="U9" i="2" s="1"/>
  <c r="U20" i="2" s="1"/>
  <c r="U24" i="2" s="1"/>
  <c r="U29" i="2"/>
  <c r="T20" i="2"/>
  <c r="T24" i="2" s="1"/>
  <c r="U7" i="2" l="1"/>
  <c r="U19" i="2"/>
  <c r="V29" i="2"/>
  <c r="W22" i="2"/>
  <c r="V3" i="2"/>
  <c r="V4" i="2" s="1"/>
  <c r="V18" i="2"/>
  <c r="U5" i="2"/>
  <c r="U6" i="2"/>
  <c r="V9" i="2"/>
  <c r="V20" i="2" s="1"/>
  <c r="R10" i="2"/>
  <c r="R12" i="2" s="1"/>
  <c r="R13" i="2" l="1"/>
  <c r="R14" i="2" s="1"/>
  <c r="R32" i="2" s="1"/>
  <c r="V7" i="2"/>
  <c r="V19" i="2"/>
  <c r="V24" i="2"/>
  <c r="V6" i="2"/>
  <c r="V5" i="2"/>
  <c r="W18" i="2"/>
  <c r="W3" i="2"/>
  <c r="W4" i="2" s="1"/>
  <c r="W29" i="2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W7" i="2" l="1"/>
  <c r="W19" i="2"/>
  <c r="W5" i="2"/>
  <c r="W9" i="2" s="1"/>
  <c r="W20" i="2" s="1"/>
  <c r="W24" i="2" s="1"/>
  <c r="W6" i="2"/>
  <c r="S10" i="2"/>
  <c r="S12" i="2" s="1"/>
  <c r="S13" i="2" s="1"/>
  <c r="S14" i="2" l="1"/>
  <c r="S32" i="2" l="1"/>
  <c r="T10" i="2" s="1"/>
  <c r="T12" i="2" s="1"/>
  <c r="T13" i="2" l="1"/>
  <c r="T14" i="2" s="1"/>
  <c r="T32" i="2" s="1"/>
  <c r="U10" i="2" s="1"/>
  <c r="U12" i="2" s="1"/>
  <c r="U13" i="2" l="1"/>
  <c r="U14" i="2" s="1"/>
  <c r="U32" i="2" s="1"/>
  <c r="V10" i="2" s="1"/>
  <c r="V12" i="2" s="1"/>
  <c r="V13" i="2" l="1"/>
  <c r="V14" i="2" s="1"/>
  <c r="V32" i="2" s="1"/>
  <c r="W10" i="2" s="1"/>
  <c r="W12" i="2" s="1"/>
  <c r="W13" i="2" l="1"/>
  <c r="W14" i="2" s="1"/>
  <c r="W32" i="2" l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Z21" i="2"/>
  <c r="Z22" i="2" s="1"/>
  <c r="Z23" i="2" s="1"/>
</calcChain>
</file>

<file path=xl/sharedStrings.xml><?xml version="1.0" encoding="utf-8"?>
<sst xmlns="http://schemas.openxmlformats.org/spreadsheetml/2006/main" count="52" uniqueCount="45">
  <si>
    <t>PLTR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</si>
  <si>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</si>
  <si>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</si>
  <si>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</si>
  <si>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</si>
  <si>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</si>
  <si>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</si>
  <si>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</si>
  <si>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</si>
  <si>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</si>
  <si>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</si>
  <si>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</si>
  <si>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</si>
  <si>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Rule of 40</t>
  </si>
  <si>
    <t>EBITDA %</t>
  </si>
  <si>
    <t>FCF</t>
  </si>
  <si>
    <t>CFFO</t>
  </si>
  <si>
    <t>CX</t>
  </si>
  <si>
    <t>Net Income</t>
  </si>
  <si>
    <t>Maturity</t>
  </si>
  <si>
    <t>Discount</t>
  </si>
  <si>
    <t>NPV</t>
  </si>
  <si>
    <t>Diff</t>
  </si>
  <si>
    <t>COGS</t>
  </si>
  <si>
    <t>Gross Profit</t>
  </si>
  <si>
    <t>S&amp;M</t>
  </si>
  <si>
    <t>R&amp;D</t>
  </si>
  <si>
    <t>G&amp;A</t>
  </si>
  <si>
    <t>Pretax Income</t>
  </si>
  <si>
    <t>Tax</t>
  </si>
  <si>
    <t>Interest</t>
  </si>
  <si>
    <t>Other Income</t>
  </si>
  <si>
    <t>Gross Margin</t>
  </si>
  <si>
    <t>FCF Margin</t>
  </si>
  <si>
    <t>ROIC</t>
  </si>
  <si>
    <t>EPS</t>
  </si>
  <si>
    <t>Net Cash</t>
  </si>
  <si>
    <t>Operating Income</t>
  </si>
  <si>
    <t>Q225</t>
  </si>
  <si>
    <t>Q325</t>
  </si>
  <si>
    <t>Q425</t>
  </si>
  <si>
    <t>Revenue y/y</t>
  </si>
  <si>
    <t>Revenue q/q</t>
  </si>
  <si>
    <t>OPEX Margin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</si>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</sst>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/>
    <xf numFmtId="0" fontId="3" fillId="0" borderId="0" xfId="0" applyFont="1"/>
    <xf numFmtId="0" fontId="2" fillId="0" borderId="0" xfId="0" applyFont="1"/>
    <xf numFmtId="4" fontId="2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3" fontId="4" fillId="0" borderId="0" xfId="0" applyNumberFormat="1" applyFont="1"/>
    <xf numFmtId="9" fontId="1" fillId="0" borderId="0" xfId="0" applyNumberFormat="1" applyFont="1"/>
    <xf numFmtId="9" fontId="4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28575</xdr:rowOff>
    </xdr:from>
    <xdr:to>
      <xdr:col>13</xdr:col>
      <xdr:colOff>9525</xdr:colOff>
      <xdr:row>24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D81122-4F06-16EA-0D67-4C8D7C3A90C4}"/>
            </a:ext>
          </a:extLst>
        </xdr:cNvPr>
        <xdr:cNvCxnSpPr/>
      </xdr:nvCxnSpPr>
      <xdr:spPr>
        <a:xfrm>
          <a:off x="6076950" y="28575"/>
          <a:ext cx="28575" cy="3590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0</xdr:row>
      <xdr:rowOff>9525</xdr:rowOff>
    </xdr:from>
    <xdr:to>
      <xdr:col>6</xdr:col>
      <xdr:colOff>9525</xdr:colOff>
      <xdr:row>23</xdr:row>
      <xdr:rowOff>171450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4DE834C-F0B0-2497-5AE1-977B2E68C64A}"/>
            </a:ext>
          </a:extLst>
        </xdr:cNvPr>
        <xdr:cNvCxnSpPr/>
      </xdr:nvCxnSpPr>
      <xdr:spPr>
        <a:xfrm>
          <a:off x="4200525" y="9525"/>
          <a:ext cx="0" cy="420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8D33-7BAB-4D53-9D30-0903F79F6C1F}">
  <dimension ref="A1:E7"/>
  <sheetViews>
    <sheetView zoomScale="235" zoomScaleNormal="235" workbookViewId="0">
      <selection activeCell="B15" sqref="B15"/>
    </sheetView>
  </sheetViews>
  <sheetFormatPr defaultRowHeight="14.25" x14ac:dyDescent="0.2"/>
  <cols>
    <col min="1" max="16384" width="9.140625" style="3"/>
  </cols>
  <sheetData>
    <row r="1" spans="1:5" ht="15" x14ac:dyDescent="0.25">
      <c r="A1" s="2" t="s">
        <v>0</v>
      </c>
    </row>
    <row r="2" spans="1:5" x14ac:dyDescent="0.2">
      <c r="C2" s="3" t="s">
        <v>1</v>
      </c>
      <c r="D2" s="4">
        <v>119</v>
      </c>
    </row>
    <row r="3" spans="1:5" x14ac:dyDescent="0.2">
      <c r="C3" s="3" t="s">
        <v>2</v>
      </c>
      <c r="D3" s="1">
        <f>2262.91+96+1</f>
        <v>2359.91</v>
      </c>
      <c r="E3" s="3" t="s">
        <v>11</v>
      </c>
    </row>
    <row r="4" spans="1:5" x14ac:dyDescent="0.2">
      <c r="C4" s="3" t="s">
        <v>3</v>
      </c>
      <c r="D4" s="1">
        <f>D3*D2</f>
        <v>280829.28999999998</v>
      </c>
    </row>
    <row r="5" spans="1:5" x14ac:dyDescent="0.2">
      <c r="C5" s="3" t="s">
        <v>4</v>
      </c>
      <c r="D5" s="1">
        <f>993.46+4437.22</f>
        <v>5430.68</v>
      </c>
      <c r="E5" s="3" t="s">
        <v>11</v>
      </c>
    </row>
    <row r="6" spans="1:5" x14ac:dyDescent="0.2">
      <c r="C6" s="3" t="s">
        <v>5</v>
      </c>
      <c r="D6" s="1">
        <f>36.37+1.46+200.17+12.48</f>
        <v>250.48</v>
      </c>
      <c r="E6" s="3" t="s">
        <v>11</v>
      </c>
    </row>
    <row r="7" spans="1:5" x14ac:dyDescent="0.2">
      <c r="C7" s="3" t="s">
        <v>6</v>
      </c>
      <c r="D7" s="1">
        <f>D4+D6-D5</f>
        <v>275649.08999999997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0906-26CA-4CF3-9151-8BD547BB3B30}">
  <dimension ref="A1:BZ36"/>
  <sheetViews>
    <sheetView tabSelected="1" zoomScale="130" zoomScaleNormal="130" workbookViewId="0">
      <pane xSplit="1" ySplit="1" topLeftCell="K4" activePane="bottomRight" state="frozen"/>
      <selection pane="topRight" activeCell="B1" sqref="B1"/>
      <selection pane="bottomLeft" activeCell="A2" sqref="A2"/>
      <selection pane="bottomRight" activeCell="Q28" sqref="Q28"/>
    </sheetView>
  </sheetViews>
  <sheetFormatPr defaultRowHeight="12.75" x14ac:dyDescent="0.2"/>
  <cols>
    <col min="1" max="1" width="20" style="5" customWidth="1"/>
    <col min="2" max="16384" width="9.140625" style="5"/>
  </cols>
  <sheetData>
    <row r="1" spans="1:78" x14ac:dyDescent="0.2"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38</v>
      </c>
      <c r="H1" s="5" t="s">
        <v>39</v>
      </c>
      <c r="I1" s="5" t="s">
        <v>40</v>
      </c>
      <c r="K1" s="6">
        <v>2022</v>
      </c>
      <c r="L1" s="6">
        <f>K1+1</f>
        <v>2023</v>
      </c>
      <c r="M1" s="6">
        <f t="shared" ref="M1:S1" si="0">L1+1</f>
        <v>2024</v>
      </c>
      <c r="N1" s="6">
        <f t="shared" si="0"/>
        <v>2025</v>
      </c>
      <c r="O1" s="6">
        <f t="shared" si="0"/>
        <v>2026</v>
      </c>
      <c r="P1" s="6">
        <f t="shared" si="0"/>
        <v>2027</v>
      </c>
      <c r="Q1" s="6">
        <f t="shared" si="0"/>
        <v>2028</v>
      </c>
      <c r="R1" s="6">
        <f t="shared" si="0"/>
        <v>2029</v>
      </c>
      <c r="S1" s="6">
        <f t="shared" si="0"/>
        <v>2030</v>
      </c>
      <c r="T1" s="6">
        <f t="shared" ref="T1" si="1">S1+1</f>
        <v>2031</v>
      </c>
      <c r="U1" s="6">
        <f t="shared" ref="U1" si="2">T1+1</f>
        <v>2032</v>
      </c>
      <c r="V1" s="6">
        <f t="shared" ref="V1" si="3">U1+1</f>
        <v>2033</v>
      </c>
      <c r="W1" s="6">
        <f t="shared" ref="W1" si="4">V1+1</f>
        <v>2034</v>
      </c>
    </row>
    <row r="2" spans="1:78" x14ac:dyDescent="0.2">
      <c r="A2" s="7" t="s">
        <v>12</v>
      </c>
      <c r="B2" s="7"/>
      <c r="C2" s="7"/>
      <c r="D2" s="7"/>
      <c r="E2" s="7">
        <v>827.5</v>
      </c>
      <c r="F2" s="7">
        <v>860</v>
      </c>
      <c r="G2" s="7">
        <v>938</v>
      </c>
      <c r="H2" s="7">
        <f>G2*1.09</f>
        <v>1022.4200000000001</v>
      </c>
      <c r="I2" s="7">
        <f>H2*1.09</f>
        <v>1114.4378000000002</v>
      </c>
      <c r="J2" s="7"/>
      <c r="K2" s="7">
        <v>1905.8</v>
      </c>
      <c r="L2" s="7">
        <v>2225</v>
      </c>
      <c r="M2" s="7">
        <v>2865.5</v>
      </c>
      <c r="N2" s="7">
        <f>SUM(F2:I2)</f>
        <v>3934.8578000000002</v>
      </c>
      <c r="O2" s="7">
        <f>N2*1.34</f>
        <v>5272.709452000001</v>
      </c>
      <c r="P2" s="7">
        <f>O2*1.34</f>
        <v>7065.4306656800018</v>
      </c>
      <c r="Q2" s="7">
        <f>P2*1.34</f>
        <v>9467.6770920112031</v>
      </c>
      <c r="R2" s="7">
        <f>Q2*1.34</f>
        <v>12686.687303295013</v>
      </c>
      <c r="S2" s="7">
        <f>R2*1.34</f>
        <v>17000.160986415318</v>
      </c>
      <c r="T2" s="7">
        <f t="shared" ref="T2:W2" si="5">S2*1.34</f>
        <v>22780.215721796529</v>
      </c>
      <c r="U2" s="7">
        <f t="shared" si="5"/>
        <v>30525.489067207349</v>
      </c>
      <c r="V2" s="7">
        <f t="shared" si="5"/>
        <v>40904.155350057852</v>
      </c>
      <c r="W2" s="7">
        <f t="shared" si="5"/>
        <v>54811.568169077524</v>
      </c>
    </row>
    <row r="3" spans="1:78" x14ac:dyDescent="0.2">
      <c r="A3" s="5" t="s">
        <v>23</v>
      </c>
      <c r="K3" s="5">
        <v>408.5</v>
      </c>
      <c r="L3" s="5">
        <v>431.1</v>
      </c>
      <c r="M3" s="5">
        <v>565.99</v>
      </c>
      <c r="N3" s="5">
        <f>N2*(1-N21)</f>
        <v>745.63172836336366</v>
      </c>
      <c r="O3" s="5">
        <f>O2*(1-O21)</f>
        <v>956.41088664697656</v>
      </c>
      <c r="P3" s="5">
        <f>P2*(1-P21)</f>
        <v>1223.752187331218</v>
      </c>
      <c r="Q3" s="5">
        <f>Q2*(1-Q21)</f>
        <v>1561.5494394139582</v>
      </c>
      <c r="R3" s="5">
        <f>R2*(1-R21)</f>
        <v>1986.534138269901</v>
      </c>
      <c r="S3" s="5">
        <f t="shared" ref="S3:T3" si="6">S2*(1-S21)</f>
        <v>2720.0257578264514</v>
      </c>
      <c r="T3" s="5">
        <f t="shared" si="6"/>
        <v>3644.8345154874455</v>
      </c>
      <c r="U3" s="5">
        <f t="shared" ref="U3" si="7">U2*(1-U21)</f>
        <v>4884.0782507531767</v>
      </c>
      <c r="V3" s="5">
        <f t="shared" ref="V3" si="8">V2*(1-V21)</f>
        <v>6544.6648560092572</v>
      </c>
      <c r="W3" s="5">
        <f t="shared" ref="W3" si="9">W2*(1-W21)</f>
        <v>8769.8509070524051</v>
      </c>
    </row>
    <row r="4" spans="1:78" x14ac:dyDescent="0.2">
      <c r="A4" s="5" t="s">
        <v>24</v>
      </c>
      <c r="B4" s="5">
        <f>B2-B3</f>
        <v>0</v>
      </c>
      <c r="C4" s="5">
        <f>C2-C3</f>
        <v>0</v>
      </c>
      <c r="D4" s="5">
        <f>D2-D3</f>
        <v>0</v>
      </c>
      <c r="E4" s="5">
        <f>E2-E3</f>
        <v>827.5</v>
      </c>
      <c r="F4" s="5">
        <f>F2-F3</f>
        <v>860</v>
      </c>
      <c r="G4" s="5">
        <f t="shared" ref="G4:I4" si="10">G2-G3</f>
        <v>938</v>
      </c>
      <c r="H4" s="5">
        <f t="shared" si="10"/>
        <v>1022.4200000000001</v>
      </c>
      <c r="I4" s="5">
        <f t="shared" si="10"/>
        <v>1114.4378000000002</v>
      </c>
      <c r="K4" s="5">
        <f>K2-K3</f>
        <v>1497.3</v>
      </c>
      <c r="L4" s="5">
        <f t="shared" ref="L4:R4" si="11">L2-L3</f>
        <v>1793.9</v>
      </c>
      <c r="M4" s="5">
        <f t="shared" si="11"/>
        <v>2299.5100000000002</v>
      </c>
      <c r="N4" s="5">
        <f t="shared" si="11"/>
        <v>3189.2260716366363</v>
      </c>
      <c r="O4" s="5">
        <f t="shared" si="11"/>
        <v>4316.2985653530241</v>
      </c>
      <c r="P4" s="5">
        <f t="shared" si="11"/>
        <v>5841.6784783487838</v>
      </c>
      <c r="Q4" s="5">
        <f t="shared" si="11"/>
        <v>7906.1276525972444</v>
      </c>
      <c r="R4" s="5">
        <f t="shared" si="11"/>
        <v>10700.153165025113</v>
      </c>
      <c r="S4" s="5">
        <f t="shared" ref="S4:T4" si="12">S2-S3</f>
        <v>14280.135228588866</v>
      </c>
      <c r="T4" s="5">
        <f t="shared" si="12"/>
        <v>19135.381206309085</v>
      </c>
      <c r="U4" s="5">
        <f t="shared" ref="U4:W4" si="13">U2-U3</f>
        <v>25641.410816454172</v>
      </c>
      <c r="V4" s="5">
        <f t="shared" si="13"/>
        <v>34359.490494048594</v>
      </c>
      <c r="W4" s="5">
        <f t="shared" si="13"/>
        <v>46041.717262025122</v>
      </c>
    </row>
    <row r="5" spans="1:78" x14ac:dyDescent="0.2">
      <c r="A5" s="5" t="s">
        <v>25</v>
      </c>
      <c r="K5" s="5">
        <v>702.5</v>
      </c>
      <c r="L5" s="5">
        <v>744.9</v>
      </c>
      <c r="M5" s="5">
        <v>887.7</v>
      </c>
      <c r="N5" s="5">
        <f>M5*(1+N18)</f>
        <v>1218.9751418809983</v>
      </c>
      <c r="O5" s="5">
        <f t="shared" ref="O5:R5" si="14">N5*(1+O18)</f>
        <v>1633.4266901205378</v>
      </c>
      <c r="P5" s="5">
        <f t="shared" si="14"/>
        <v>2188.7917647615209</v>
      </c>
      <c r="Q5" s="5">
        <f t="shared" si="14"/>
        <v>2932.9809647804382</v>
      </c>
      <c r="R5" s="5">
        <f t="shared" si="14"/>
        <v>3930.1944928057874</v>
      </c>
      <c r="S5" s="5">
        <f t="shared" ref="S5:T5" si="15">R5*(1+S18)</f>
        <v>5266.460620359755</v>
      </c>
      <c r="T5" s="5">
        <f t="shared" si="15"/>
        <v>7057.0572312820723</v>
      </c>
      <c r="U5" s="5">
        <f t="shared" ref="U5:W5" si="16">T5*(1+U18)</f>
        <v>9456.4566899179772</v>
      </c>
      <c r="V5" s="5">
        <f t="shared" si="16"/>
        <v>12671.651964490091</v>
      </c>
      <c r="W5" s="5">
        <f t="shared" si="16"/>
        <v>16980.013632416722</v>
      </c>
    </row>
    <row r="6" spans="1:78" x14ac:dyDescent="0.2">
      <c r="A6" s="5" t="s">
        <v>26</v>
      </c>
      <c r="K6" s="5">
        <v>359.6</v>
      </c>
      <c r="L6" s="5">
        <v>404.6</v>
      </c>
      <c r="M6" s="5">
        <v>507.9</v>
      </c>
      <c r="N6" s="5">
        <f>M6*(1+N18)</f>
        <v>697.43998486128078</v>
      </c>
      <c r="O6" s="5">
        <f t="shared" ref="O6:R6" si="17">N6*(1+O18)</f>
        <v>934.56957971411634</v>
      </c>
      <c r="P6" s="5">
        <f t="shared" si="17"/>
        <v>1252.3232368169161</v>
      </c>
      <c r="Q6" s="5">
        <f t="shared" si="17"/>
        <v>1678.1131373346675</v>
      </c>
      <c r="R6" s="5">
        <f t="shared" si="17"/>
        <v>2248.6716040284546</v>
      </c>
      <c r="S6" s="5">
        <f t="shared" ref="S6:T6" si="18">R6*(1+S18)</f>
        <v>3013.2199493981293</v>
      </c>
      <c r="T6" s="5">
        <f t="shared" si="18"/>
        <v>4037.7147321934935</v>
      </c>
      <c r="U6" s="5">
        <f t="shared" ref="U6:W6" si="19">T6*(1+U18)</f>
        <v>5410.5377411392819</v>
      </c>
      <c r="V6" s="5">
        <f t="shared" si="19"/>
        <v>7250.1205731266382</v>
      </c>
      <c r="W6" s="5">
        <f t="shared" si="19"/>
        <v>9715.161567989695</v>
      </c>
    </row>
    <row r="7" spans="1:78" x14ac:dyDescent="0.2">
      <c r="A7" s="5" t="s">
        <v>27</v>
      </c>
      <c r="K7" s="5">
        <v>596.29999999999995</v>
      </c>
      <c r="L7" s="5">
        <v>524.29999999999995</v>
      </c>
      <c r="M7" s="5">
        <v>593.4</v>
      </c>
      <c r="N7" s="5">
        <f>M7*(1+N18)</f>
        <v>814.84718845576697</v>
      </c>
      <c r="O7" s="5">
        <f t="shared" ref="O7:R7" si="20">N7*(1+O18)</f>
        <v>1091.8952325307278</v>
      </c>
      <c r="P7" s="5">
        <f t="shared" si="20"/>
        <v>1463.1396115911753</v>
      </c>
      <c r="Q7" s="5">
        <f t="shared" si="20"/>
        <v>1960.607079532175</v>
      </c>
      <c r="R7" s="5">
        <f t="shared" si="20"/>
        <v>2627.2134865731146</v>
      </c>
      <c r="S7" s="5">
        <f t="shared" ref="S7:T7" si="21">R7*(1+S18)</f>
        <v>3520.4660720079737</v>
      </c>
      <c r="T7" s="5">
        <f t="shared" si="21"/>
        <v>4717.4245364906847</v>
      </c>
      <c r="U7" s="5">
        <f t="shared" ref="U7:W7" si="22">T7*(1+U18)</f>
        <v>6321.3488788975183</v>
      </c>
      <c r="V7" s="5">
        <f t="shared" si="22"/>
        <v>8470.6074977226745</v>
      </c>
      <c r="W7" s="5">
        <f t="shared" si="22"/>
        <v>11350.614046948385</v>
      </c>
    </row>
    <row r="8" spans="1:78" x14ac:dyDescent="0.2">
      <c r="A8" s="5" t="s">
        <v>44</v>
      </c>
      <c r="F8" s="5">
        <f>SUM(F5:F7)</f>
        <v>0</v>
      </c>
      <c r="G8" s="5">
        <f t="shared" ref="G8:I8" si="23">SUM(G5:G7)</f>
        <v>0</v>
      </c>
      <c r="H8" s="5">
        <f t="shared" si="23"/>
        <v>0</v>
      </c>
      <c r="I8" s="5">
        <f t="shared" si="23"/>
        <v>0</v>
      </c>
      <c r="K8" s="5">
        <f>SUM(K5:K7)</f>
        <v>1658.3999999999999</v>
      </c>
      <c r="L8" s="5">
        <f t="shared" ref="L8:M8" si="24">SUM(L5:L7)</f>
        <v>1673.8</v>
      </c>
      <c r="M8" s="5">
        <f t="shared" si="24"/>
        <v>1989</v>
      </c>
      <c r="N8" s="5">
        <f>M8*1.2</f>
        <v>2386.7999999999997</v>
      </c>
      <c r="O8" s="5">
        <f t="shared" ref="O8:R8" si="25">N8*1.2</f>
        <v>2864.1599999999994</v>
      </c>
      <c r="P8" s="5">
        <f t="shared" si="25"/>
        <v>3436.9919999999993</v>
      </c>
      <c r="Q8" s="5">
        <f t="shared" si="25"/>
        <v>4124.3903999999993</v>
      </c>
      <c r="R8" s="5">
        <f t="shared" si="25"/>
        <v>4949.2684799999988</v>
      </c>
      <c r="S8" s="5">
        <f>R8*1.1</f>
        <v>5444.1953279999989</v>
      </c>
      <c r="T8" s="5">
        <f t="shared" ref="T8:W8" si="26">S8*1.1</f>
        <v>5988.6148607999994</v>
      </c>
      <c r="U8" s="5">
        <f t="shared" si="26"/>
        <v>6587.4763468800002</v>
      </c>
      <c r="V8" s="5">
        <f t="shared" si="26"/>
        <v>7246.2239815680005</v>
      </c>
      <c r="W8" s="5">
        <f t="shared" si="26"/>
        <v>7970.8463797248014</v>
      </c>
    </row>
    <row r="9" spans="1:78" x14ac:dyDescent="0.2">
      <c r="A9" s="5" t="s">
        <v>37</v>
      </c>
      <c r="E9" s="5">
        <v>379.5</v>
      </c>
      <c r="F9" s="5">
        <v>356</v>
      </c>
      <c r="G9" s="5">
        <f t="shared" ref="G9:I9" si="27">G4-G8</f>
        <v>938</v>
      </c>
      <c r="H9" s="5">
        <f t="shared" si="27"/>
        <v>1022.4200000000001</v>
      </c>
      <c r="I9" s="5">
        <f t="shared" si="27"/>
        <v>1114.4378000000002</v>
      </c>
      <c r="K9" s="5">
        <f t="shared" ref="K9:R9" si="28">K4-K8</f>
        <v>-161.09999999999991</v>
      </c>
      <c r="L9" s="5">
        <f t="shared" si="28"/>
        <v>120.10000000000014</v>
      </c>
      <c r="M9" s="5">
        <f t="shared" si="28"/>
        <v>310.51000000000022</v>
      </c>
      <c r="N9" s="5">
        <f t="shared" si="28"/>
        <v>802.42607163663661</v>
      </c>
      <c r="O9" s="5">
        <f t="shared" si="28"/>
        <v>1452.1385653530247</v>
      </c>
      <c r="P9" s="5">
        <f t="shared" si="28"/>
        <v>2404.6864783487845</v>
      </c>
      <c r="Q9" s="5">
        <f t="shared" si="28"/>
        <v>3781.7372525972451</v>
      </c>
      <c r="R9" s="5">
        <f t="shared" si="28"/>
        <v>5750.8846850251139</v>
      </c>
      <c r="S9" s="5">
        <f t="shared" ref="S9:T9" si="29">S4-S8</f>
        <v>8835.9399005888663</v>
      </c>
      <c r="T9" s="5">
        <f t="shared" si="29"/>
        <v>13146.766345509084</v>
      </c>
      <c r="U9" s="5">
        <f t="shared" ref="U9:W9" si="30">U4-U8</f>
        <v>19053.934469574171</v>
      </c>
      <c r="V9" s="5">
        <f t="shared" si="30"/>
        <v>27113.266512480594</v>
      </c>
      <c r="W9" s="5">
        <f t="shared" si="30"/>
        <v>38070.870882300318</v>
      </c>
    </row>
    <row r="10" spans="1:78" x14ac:dyDescent="0.2">
      <c r="A10" s="5" t="s">
        <v>30</v>
      </c>
      <c r="K10" s="5">
        <v>20.3</v>
      </c>
      <c r="L10" s="5">
        <v>132.5</v>
      </c>
      <c r="M10" s="5">
        <v>196.8</v>
      </c>
      <c r="N10" s="5">
        <f>M32*$Z$18</f>
        <v>99.577999999999989</v>
      </c>
      <c r="O10" s="5">
        <f>N32*$Z$18</f>
        <v>113.71918514618618</v>
      </c>
      <c r="P10" s="5">
        <f>O32*$Z$18</f>
        <v>138.47912035417355</v>
      </c>
      <c r="Q10" s="5">
        <f>P32*$Z$18</f>
        <v>178.87304324542086</v>
      </c>
      <c r="R10" s="5">
        <f>Q32*$Z$18</f>
        <v>241.94311402402354</v>
      </c>
      <c r="S10" s="5">
        <f>R32*$Z$18</f>
        <v>337.5256679143809</v>
      </c>
      <c r="T10" s="5">
        <f>S32*$Z$18</f>
        <v>483.99539920705973</v>
      </c>
      <c r="U10" s="5">
        <f>T32*$Z$18</f>
        <v>701.7788121411113</v>
      </c>
      <c r="V10" s="5">
        <f>U32*$Z$18</f>
        <v>1017.5583619173349</v>
      </c>
      <c r="W10" s="5">
        <f>V32*$Z$18</f>
        <v>1467.3365785491687</v>
      </c>
    </row>
    <row r="11" spans="1:78" ht="15.75" customHeight="1" x14ac:dyDescent="0.2">
      <c r="A11" s="5" t="s">
        <v>31</v>
      </c>
      <c r="K11" s="5">
        <v>-220</v>
      </c>
      <c r="L11" s="5">
        <v>-15.4</v>
      </c>
      <c r="M11" s="5">
        <v>-18</v>
      </c>
      <c r="N11" s="5">
        <f>M11*1.01</f>
        <v>-18.18</v>
      </c>
      <c r="O11" s="5">
        <f t="shared" ref="O11:R11" si="31">N11*1.01</f>
        <v>-18.361799999999999</v>
      </c>
      <c r="P11" s="5">
        <f t="shared" si="31"/>
        <v>-18.545417999999998</v>
      </c>
      <c r="Q11" s="5">
        <f t="shared" si="31"/>
        <v>-18.730872179999999</v>
      </c>
      <c r="R11" s="5">
        <f t="shared" si="31"/>
        <v>-18.9181809018</v>
      </c>
      <c r="S11" s="5">
        <f t="shared" ref="S11" si="32">R11*1.01</f>
        <v>-19.107362710817998</v>
      </c>
      <c r="T11" s="5">
        <f t="shared" ref="T11" si="33">S11*1.01</f>
        <v>-19.29843633792618</v>
      </c>
      <c r="U11" s="5">
        <f t="shared" ref="U11" si="34">T11*1.01</f>
        <v>-19.491420701305444</v>
      </c>
      <c r="V11" s="5">
        <f t="shared" ref="V11" si="35">U11*1.01</f>
        <v>-19.6863349083185</v>
      </c>
      <c r="W11" s="5">
        <f t="shared" ref="W11" si="36">V11*1.01</f>
        <v>-19.883198257401684</v>
      </c>
    </row>
    <row r="12" spans="1:78" x14ac:dyDescent="0.2">
      <c r="A12" s="5" t="s">
        <v>28</v>
      </c>
      <c r="F12" s="5">
        <f>F9+SUM(F10:F11)</f>
        <v>356</v>
      </c>
      <c r="G12" s="5">
        <f t="shared" ref="G12:I12" si="37">G9+SUM(G10:G11)</f>
        <v>938</v>
      </c>
      <c r="H12" s="5">
        <f t="shared" si="37"/>
        <v>1022.4200000000001</v>
      </c>
      <c r="I12" s="5">
        <f t="shared" si="37"/>
        <v>1114.4378000000002</v>
      </c>
      <c r="K12" s="5">
        <f t="shared" ref="K12:R12" si="38">K9+SUM(K10:K11)</f>
        <v>-360.7999999999999</v>
      </c>
      <c r="L12" s="5">
        <f t="shared" si="38"/>
        <v>237.20000000000013</v>
      </c>
      <c r="M12" s="5">
        <f t="shared" si="38"/>
        <v>489.31000000000023</v>
      </c>
      <c r="N12" s="5">
        <f t="shared" si="38"/>
        <v>883.82407163663663</v>
      </c>
      <c r="O12" s="5">
        <f t="shared" si="38"/>
        <v>1547.4959504992107</v>
      </c>
      <c r="P12" s="5">
        <f t="shared" si="38"/>
        <v>2524.6201807029579</v>
      </c>
      <c r="Q12" s="5">
        <f t="shared" si="38"/>
        <v>3941.8794236626659</v>
      </c>
      <c r="R12" s="5">
        <f t="shared" si="38"/>
        <v>5973.9096181473378</v>
      </c>
      <c r="S12" s="5">
        <f t="shared" ref="S12:T12" si="39">S9+SUM(S10:S11)</f>
        <v>9154.3582057924286</v>
      </c>
      <c r="T12" s="5">
        <f t="shared" si="39"/>
        <v>13611.463308378217</v>
      </c>
      <c r="U12" s="5">
        <f t="shared" ref="U12:W12" si="40">U9+SUM(U10:U11)</f>
        <v>19736.221861013975</v>
      </c>
      <c r="V12" s="5">
        <f t="shared" si="40"/>
        <v>28111.13853948961</v>
      </c>
      <c r="W12" s="5">
        <f t="shared" si="40"/>
        <v>39518.324262592083</v>
      </c>
    </row>
    <row r="13" spans="1:78" x14ac:dyDescent="0.2">
      <c r="A13" s="5" t="s">
        <v>29</v>
      </c>
      <c r="G13" s="5" t="e">
        <f>#REF!*G12</f>
        <v>#REF!</v>
      </c>
      <c r="H13" s="5" t="e">
        <f>#REF!*H12</f>
        <v>#REF!</v>
      </c>
      <c r="I13" s="5" t="e">
        <f>#REF!*I12</f>
        <v>#REF!</v>
      </c>
      <c r="K13" s="5">
        <v>10</v>
      </c>
      <c r="L13" s="5">
        <v>19.7</v>
      </c>
      <c r="M13" s="5">
        <v>21.2</v>
      </c>
      <c r="N13" s="5">
        <f>N12*0.2</f>
        <v>176.76481432732734</v>
      </c>
      <c r="O13" s="5">
        <f t="shared" ref="O13:W13" si="41">O12*0.2</f>
        <v>309.49919009984217</v>
      </c>
      <c r="P13" s="5">
        <f t="shared" si="41"/>
        <v>504.92403614059162</v>
      </c>
      <c r="Q13" s="5">
        <f t="shared" si="41"/>
        <v>788.37588473253322</v>
      </c>
      <c r="R13" s="5">
        <f t="shared" si="41"/>
        <v>1194.7819236294677</v>
      </c>
      <c r="S13" s="5">
        <f t="shared" si="41"/>
        <v>1830.8716411584858</v>
      </c>
      <c r="T13" s="5">
        <f t="shared" si="41"/>
        <v>2722.2926616756436</v>
      </c>
      <c r="U13" s="5">
        <f t="shared" si="41"/>
        <v>3947.2443722027951</v>
      </c>
      <c r="V13" s="5">
        <f t="shared" si="41"/>
        <v>5622.2277078979223</v>
      </c>
      <c r="W13" s="5">
        <f t="shared" si="41"/>
        <v>7903.6648525184173</v>
      </c>
    </row>
    <row r="14" spans="1:78" x14ac:dyDescent="0.2">
      <c r="A14" s="7" t="s">
        <v>18</v>
      </c>
      <c r="B14" s="7"/>
      <c r="C14" s="7"/>
      <c r="D14" s="7"/>
      <c r="E14" s="7"/>
      <c r="F14" s="7">
        <f>F12-F13</f>
        <v>356</v>
      </c>
      <c r="G14" s="7" t="e">
        <f t="shared" ref="G14:I14" si="42">G12-G13</f>
        <v>#REF!</v>
      </c>
      <c r="H14" s="7" t="e">
        <f t="shared" si="42"/>
        <v>#REF!</v>
      </c>
      <c r="I14" s="7" t="e">
        <f t="shared" si="42"/>
        <v>#REF!</v>
      </c>
      <c r="J14" s="7"/>
      <c r="K14" s="7">
        <f>K12-K13</f>
        <v>-370.7999999999999</v>
      </c>
      <c r="L14" s="7">
        <f>L12-L13</f>
        <v>217.50000000000014</v>
      </c>
      <c r="M14" s="7">
        <f>M12-M13</f>
        <v>468.11000000000024</v>
      </c>
      <c r="N14" s="7">
        <f>N12-N13</f>
        <v>707.05925730930926</v>
      </c>
      <c r="O14" s="7">
        <f t="shared" ref="O14:W14" si="43">O12-O13</f>
        <v>1237.9967603993687</v>
      </c>
      <c r="P14" s="7">
        <f t="shared" si="43"/>
        <v>2019.6961445623663</v>
      </c>
      <c r="Q14" s="7">
        <f t="shared" si="43"/>
        <v>3153.5035389301329</v>
      </c>
      <c r="R14" s="7">
        <f t="shared" si="43"/>
        <v>4779.1276945178706</v>
      </c>
      <c r="S14" s="7">
        <f t="shared" si="43"/>
        <v>7323.4865646339431</v>
      </c>
      <c r="T14" s="7">
        <f t="shared" si="43"/>
        <v>10889.170646702574</v>
      </c>
      <c r="U14" s="7">
        <f t="shared" si="43"/>
        <v>15788.977488811181</v>
      </c>
      <c r="V14" s="7">
        <f t="shared" si="43"/>
        <v>22488.910831591689</v>
      </c>
      <c r="W14" s="7">
        <f t="shared" si="43"/>
        <v>31614.659410073666</v>
      </c>
      <c r="X14" s="7">
        <f>W14*(1+$Z$19)</f>
        <v>31930.806004174403</v>
      </c>
      <c r="Y14" s="7">
        <f>X14*(1+$Z$19)</f>
        <v>32250.114064216148</v>
      </c>
      <c r="Z14" s="7">
        <f>Y14*(1+$Z$19)</f>
        <v>32572.61520485831</v>
      </c>
      <c r="AA14" s="7">
        <f>Z14*(1+$Z$19)</f>
        <v>32898.341356906894</v>
      </c>
      <c r="AB14" s="7">
        <f>AA14*(1+$Z$19)</f>
        <v>33227.324770475963</v>
      </c>
      <c r="AC14" s="7">
        <f>AB14*(1+$Z$19)</f>
        <v>33559.598018180724</v>
      </c>
      <c r="AD14" s="7">
        <f>AC14*(1+$Z$19)</f>
        <v>33895.193998362534</v>
      </c>
      <c r="AE14" s="7">
        <f>AD14*(1+$Z$19)</f>
        <v>34234.145938346162</v>
      </c>
      <c r="AF14" s="7">
        <f>AE14*(1+$Z$19)</f>
        <v>34576.487397729623</v>
      </c>
      <c r="AG14" s="7">
        <f>AF14*(1+$Z$19)</f>
        <v>34922.252271706922</v>
      </c>
      <c r="AH14" s="7">
        <f>AG14*(1+$Z$19)</f>
        <v>35271.474794423993</v>
      </c>
      <c r="AI14" s="7">
        <f>AH14*(1+$Z$19)</f>
        <v>35624.189542368236</v>
      </c>
      <c r="AJ14" s="7">
        <f>AI14*(1+$Z$19)</f>
        <v>35980.431437791922</v>
      </c>
      <c r="AK14" s="7">
        <f>AJ14*(1+$Z$19)</f>
        <v>36340.235752169843</v>
      </c>
      <c r="AL14" s="7">
        <f>AK14*(1+$Z$19)</f>
        <v>36703.638109691543</v>
      </c>
      <c r="AM14" s="7">
        <f>AL14*(1+$Z$19)</f>
        <v>37070.674490788457</v>
      </c>
      <c r="AN14" s="7">
        <f>AM14*(1+$Z$19)</f>
        <v>37441.381235696339</v>
      </c>
      <c r="AO14" s="7">
        <f>AN14*(1+$Z$19)</f>
        <v>37815.795048053304</v>
      </c>
      <c r="AP14" s="7">
        <f>AO14*(1+$Z$19)</f>
        <v>38193.952998533838</v>
      </c>
      <c r="AQ14" s="7">
        <f>AP14*(1+$Z$19)</f>
        <v>38575.89252851918</v>
      </c>
      <c r="AR14" s="7">
        <f>AQ14*(1+$Z$19)</f>
        <v>38961.65145380437</v>
      </c>
      <c r="AS14" s="7">
        <f>AR14*(1+$Z$19)</f>
        <v>39351.267968342414</v>
      </c>
      <c r="AT14" s="7">
        <f>AS14*(1+$Z$19)</f>
        <v>39744.780648025837</v>
      </c>
      <c r="AU14" s="7">
        <f>AT14*(1+$Z$19)</f>
        <v>40142.228454506097</v>
      </c>
      <c r="AV14" s="7">
        <f>AU14*(1+$Z$19)</f>
        <v>40543.650739051162</v>
      </c>
      <c r="AW14" s="7">
        <f>AV14*(1+$Z$19)</f>
        <v>40949.087246441675</v>
      </c>
      <c r="AX14" s="7">
        <f>AW14*(1+$Z$19)</f>
        <v>41358.578118906094</v>
      </c>
      <c r="AY14" s="7">
        <f>AX14*(1+$Z$19)</f>
        <v>41772.163900095155</v>
      </c>
      <c r="AZ14" s="7">
        <f>AY14*(1+$Z$19)</f>
        <v>42189.885539096103</v>
      </c>
      <c r="BA14" s="7">
        <f>AZ14*(1+$Z$19)</f>
        <v>42611.784394487062</v>
      </c>
      <c r="BB14" s="7">
        <f>BA14*(1+$Z$19)</f>
        <v>43037.902238431932</v>
      </c>
      <c r="BC14" s="7">
        <f>BB14*(1+$Z$19)</f>
        <v>43468.281260816249</v>
      </c>
      <c r="BD14" s="7">
        <f>BC14*(1+$Z$19)</f>
        <v>43902.964073424409</v>
      </c>
      <c r="BE14" s="7">
        <f>BD14*(1+$Z$19)</f>
        <v>44341.993714158656</v>
      </c>
      <c r="BF14" s="7">
        <f>BE14*(1+$Z$19)</f>
        <v>44785.413651300245</v>
      </c>
      <c r="BG14" s="7">
        <f>BF14*(1+$Z$19)</f>
        <v>45233.267787813245</v>
      </c>
      <c r="BH14" s="7">
        <f>BG14*(1+$Z$19)</f>
        <v>45685.600465691379</v>
      </c>
      <c r="BI14" s="7">
        <f>BH14*(1+$Z$19)</f>
        <v>46142.45647034829</v>
      </c>
      <c r="BJ14" s="7">
        <f>BI14*(1+$Z$19)</f>
        <v>46603.881035051774</v>
      </c>
      <c r="BK14" s="7">
        <f>BJ14*(1+$Z$19)</f>
        <v>47069.919845402292</v>
      </c>
      <c r="BL14" s="7">
        <f>BK14*(1+$Z$19)</f>
        <v>47540.619043856314</v>
      </c>
      <c r="BM14" s="7">
        <f>BL14*(1+$Z$19)</f>
        <v>48016.025234294881</v>
      </c>
      <c r="BN14" s="7">
        <f>BM14*(1+$Z$19)</f>
        <v>48496.185486637827</v>
      </c>
      <c r="BO14" s="7">
        <f>BN14*(1+$Z$19)</f>
        <v>48981.147341504206</v>
      </c>
      <c r="BP14" s="7">
        <f>BO14*(1+$Z$19)</f>
        <v>49470.95881491925</v>
      </c>
      <c r="BQ14" s="7">
        <f>BP14*(1+$Z$19)</f>
        <v>49965.668403068441</v>
      </c>
      <c r="BR14" s="7">
        <f>BQ14*(1+$Z$19)</f>
        <v>50465.325087099125</v>
      </c>
      <c r="BS14" s="7">
        <f>BR14*(1+$Z$19)</f>
        <v>50969.978337970118</v>
      </c>
      <c r="BT14" s="7">
        <f>BS14*(1+$Z$19)</f>
        <v>51479.678121349818</v>
      </c>
      <c r="BU14" s="7">
        <f>BT14*(1+$Z$19)</f>
        <v>51994.474902563314</v>
      </c>
      <c r="BV14" s="7">
        <f>BU14*(1+$Z$19)</f>
        <v>52514.419651588949</v>
      </c>
      <c r="BW14" s="7">
        <f>BV14*(1+$Z$19)</f>
        <v>53039.563848104837</v>
      </c>
      <c r="BX14" s="7">
        <f>BW14*(1+$Z$19)</f>
        <v>53569.959486585889</v>
      </c>
      <c r="BY14" s="7">
        <f>BX14*(1+$Z$19)</f>
        <v>54105.659081451748</v>
      </c>
      <c r="BZ14" s="7">
        <f>BY14*(1+$Z$19)</f>
        <v>54646.715672266262</v>
      </c>
    </row>
    <row r="15" spans="1:78" x14ac:dyDescent="0.2">
      <c r="A15" s="5" t="s">
        <v>2</v>
      </c>
      <c r="L15" s="8"/>
      <c r="M15" s="8"/>
    </row>
    <row r="16" spans="1:78" x14ac:dyDescent="0.2">
      <c r="A16" s="5" t="s">
        <v>35</v>
      </c>
      <c r="R16" s="8"/>
    </row>
    <row r="17" spans="1:73" x14ac:dyDescent="0.2">
      <c r="O17" s="8"/>
      <c r="P17" s="8"/>
      <c r="Q17" s="8"/>
      <c r="R17" s="8"/>
      <c r="S17" s="8"/>
      <c r="T17" s="8"/>
    </row>
    <row r="18" spans="1:73" x14ac:dyDescent="0.2">
      <c r="A18" s="7" t="s">
        <v>41</v>
      </c>
      <c r="B18" s="7"/>
      <c r="C18" s="7"/>
      <c r="D18" s="7"/>
      <c r="E18" s="7"/>
      <c r="F18" s="9" t="e">
        <f>F2/B2-1</f>
        <v>#DIV/0!</v>
      </c>
      <c r="G18" s="9" t="e">
        <f>G2/C2-1</f>
        <v>#DIV/0!</v>
      </c>
      <c r="H18" s="9" t="e">
        <f t="shared" ref="H18:I18" si="44">H2/D2-1</f>
        <v>#DIV/0!</v>
      </c>
      <c r="I18" s="9">
        <f t="shared" si="44"/>
        <v>0.34675262839879162</v>
      </c>
      <c r="J18" s="7"/>
      <c r="K18" s="7"/>
      <c r="L18" s="9">
        <f>L2/K2-1</f>
        <v>0.1674887186483367</v>
      </c>
      <c r="M18" s="9">
        <f>M2/L2-1</f>
        <v>0.28786516853932587</v>
      </c>
      <c r="N18" s="9">
        <f>N2/M2-1</f>
        <v>0.3731836677717677</v>
      </c>
      <c r="O18" s="9">
        <f t="shared" ref="O18:W18" si="45">O2/N2-1</f>
        <v>0.34000000000000008</v>
      </c>
      <c r="P18" s="9">
        <f t="shared" si="45"/>
        <v>0.34000000000000008</v>
      </c>
      <c r="Q18" s="9">
        <f t="shared" si="45"/>
        <v>0.34000000000000008</v>
      </c>
      <c r="R18" s="9">
        <f t="shared" si="45"/>
        <v>0.34000000000000008</v>
      </c>
      <c r="S18" s="9">
        <f t="shared" si="45"/>
        <v>0.34000000000000008</v>
      </c>
      <c r="T18" s="9">
        <f t="shared" si="45"/>
        <v>0.34000000000000008</v>
      </c>
      <c r="U18" s="9">
        <f t="shared" si="45"/>
        <v>0.34000000000000008</v>
      </c>
      <c r="V18" s="9">
        <f t="shared" si="45"/>
        <v>0.34000000000000008</v>
      </c>
      <c r="W18" s="9">
        <f t="shared" si="45"/>
        <v>0.34000000000000008</v>
      </c>
      <c r="Y18" s="5" t="s">
        <v>34</v>
      </c>
      <c r="Z18" s="10">
        <v>0.02</v>
      </c>
    </row>
    <row r="19" spans="1:73" x14ac:dyDescent="0.2">
      <c r="A19" s="7" t="s">
        <v>42</v>
      </c>
      <c r="B19" s="7"/>
      <c r="C19" s="7"/>
      <c r="D19" s="7"/>
      <c r="E19" s="7"/>
      <c r="F19" s="9">
        <f>F2/E2-1</f>
        <v>3.92749244712991E-2</v>
      </c>
      <c r="G19" s="9">
        <f>G2/F2-1</f>
        <v>9.0697674418604546E-2</v>
      </c>
      <c r="H19" s="9">
        <f t="shared" ref="H19:I19" si="46">H2/G2-1</f>
        <v>9.000000000000008E-2</v>
      </c>
      <c r="I19" s="9">
        <f t="shared" si="46"/>
        <v>9.000000000000008E-2</v>
      </c>
      <c r="J19" s="7"/>
      <c r="K19" s="7"/>
      <c r="L19" s="9"/>
      <c r="M19" s="9">
        <f t="shared" ref="M19:S19" si="47">M18/L18-1</f>
        <v>0.71871377882909493</v>
      </c>
      <c r="N19" s="9">
        <f t="shared" si="47"/>
        <v>0.29638354534298683</v>
      </c>
      <c r="O19" s="9">
        <f t="shared" si="47"/>
        <v>-8.8920471707411797E-2</v>
      </c>
      <c r="P19" s="9">
        <f t="shared" si="47"/>
        <v>0</v>
      </c>
      <c r="Q19" s="9">
        <f t="shared" si="47"/>
        <v>0</v>
      </c>
      <c r="R19" s="9">
        <f t="shared" si="47"/>
        <v>0</v>
      </c>
      <c r="S19" s="9">
        <f t="shared" si="47"/>
        <v>0</v>
      </c>
      <c r="T19" s="9">
        <f t="shared" ref="T19:W19" si="48">T18/S18-1</f>
        <v>0</v>
      </c>
      <c r="U19" s="9">
        <f t="shared" si="48"/>
        <v>0</v>
      </c>
      <c r="V19" s="9">
        <f t="shared" si="48"/>
        <v>0</v>
      </c>
      <c r="W19" s="9">
        <f t="shared" si="48"/>
        <v>0</v>
      </c>
      <c r="Y19" s="5" t="s">
        <v>19</v>
      </c>
      <c r="Z19" s="10">
        <v>0.01</v>
      </c>
    </row>
    <row r="20" spans="1:73" x14ac:dyDescent="0.2">
      <c r="A20" s="5" t="s">
        <v>14</v>
      </c>
      <c r="B20" s="5" t="e">
        <f>#REF!/B2</f>
        <v>#REF!</v>
      </c>
      <c r="E20" s="8" t="e">
        <f>#REF!/E2</f>
        <v>#REF!</v>
      </c>
      <c r="F20" s="8" t="e">
        <f>#REF!/F2</f>
        <v>#REF!</v>
      </c>
      <c r="G20" s="8" t="e">
        <f>#REF!/G2</f>
        <v>#REF!</v>
      </c>
      <c r="H20" s="8"/>
      <c r="I20" s="8"/>
      <c r="J20" s="8"/>
      <c r="K20" s="8">
        <f>K9/K2</f>
        <v>-8.4531430370448066E-2</v>
      </c>
      <c r="L20" s="8">
        <f>L9/L2</f>
        <v>5.3977528089887705E-2</v>
      </c>
      <c r="M20" s="8">
        <f>M9/M2</f>
        <v>0.10836154248822202</v>
      </c>
      <c r="N20" s="8">
        <f>N9/N2</f>
        <v>0.20392759088692775</v>
      </c>
      <c r="O20" s="8">
        <f t="shared" ref="O20:W20" si="49">O9/O2</f>
        <v>0.27540652079780564</v>
      </c>
      <c r="P20" s="8">
        <f t="shared" si="49"/>
        <v>0.34034535078370187</v>
      </c>
      <c r="Q20" s="8">
        <f t="shared" si="49"/>
        <v>0.39943665334639089</v>
      </c>
      <c r="R20" s="8">
        <f t="shared" si="49"/>
        <v>0.45330073545136418</v>
      </c>
      <c r="S20" s="8">
        <f t="shared" si="49"/>
        <v>0.51975624864079761</v>
      </c>
      <c r="T20" s="8">
        <f t="shared" si="49"/>
        <v>0.57711333843647572</v>
      </c>
      <c r="U20" s="8">
        <f t="shared" si="49"/>
        <v>0.62419751662695755</v>
      </c>
      <c r="V20" s="8">
        <f t="shared" si="49"/>
        <v>0.66284870767884585</v>
      </c>
      <c r="W20" s="8">
        <f t="shared" si="49"/>
        <v>0.69457729734830631</v>
      </c>
      <c r="Y20" s="5" t="s">
        <v>20</v>
      </c>
      <c r="Z20" s="10">
        <v>0.1</v>
      </c>
    </row>
    <row r="21" spans="1:73" x14ac:dyDescent="0.2">
      <c r="A21" s="5" t="s">
        <v>32</v>
      </c>
      <c r="B21" s="8" t="e">
        <f t="shared" ref="B21:G21" si="50">B4/B2-1</f>
        <v>#DIV/0!</v>
      </c>
      <c r="C21" s="8" t="e">
        <f t="shared" si="50"/>
        <v>#DIV/0!</v>
      </c>
      <c r="D21" s="8" t="e">
        <f t="shared" si="50"/>
        <v>#DIV/0!</v>
      </c>
      <c r="E21" s="8">
        <f t="shared" si="50"/>
        <v>0</v>
      </c>
      <c r="F21" s="8">
        <f t="shared" si="50"/>
        <v>0</v>
      </c>
      <c r="G21" s="8">
        <f t="shared" si="50"/>
        <v>0</v>
      </c>
      <c r="H21" s="8"/>
      <c r="I21" s="8"/>
      <c r="K21" s="8">
        <f>K4/K2</f>
        <v>0.78565431839647393</v>
      </c>
      <c r="L21" s="8">
        <f>L4/L2</f>
        <v>0.80624719101123599</v>
      </c>
      <c r="M21" s="8">
        <f>M4/M2</f>
        <v>0.80248124236607932</v>
      </c>
      <c r="N21" s="8">
        <f>M21*1.01</f>
        <v>0.81050605478974014</v>
      </c>
      <c r="O21" s="8">
        <f t="shared" ref="O21:R21" si="51">N21*1.01</f>
        <v>0.81861111533763753</v>
      </c>
      <c r="P21" s="8">
        <f t="shared" si="51"/>
        <v>0.82679722649101395</v>
      </c>
      <c r="Q21" s="8">
        <f t="shared" si="51"/>
        <v>0.83506519875592411</v>
      </c>
      <c r="R21" s="8">
        <f t="shared" si="51"/>
        <v>0.84341585074348335</v>
      </c>
      <c r="S21" s="8">
        <v>0.84</v>
      </c>
      <c r="T21" s="8">
        <v>0.84</v>
      </c>
      <c r="U21" s="8">
        <v>0.84</v>
      </c>
      <c r="V21" s="8">
        <v>0.84</v>
      </c>
      <c r="W21" s="8">
        <v>0.84</v>
      </c>
      <c r="Y21" s="5" t="s">
        <v>21</v>
      </c>
      <c r="Z21" s="5">
        <f>NPV(Z20,N29:BZ29)+Sheet1!D5-Sheet1!D6</f>
        <v>263220.32987096423</v>
      </c>
    </row>
    <row r="22" spans="1:73" x14ac:dyDescent="0.2">
      <c r="A22" s="5" t="s">
        <v>43</v>
      </c>
      <c r="B22" s="8"/>
      <c r="C22" s="8"/>
      <c r="D22" s="8"/>
      <c r="E22" s="8"/>
      <c r="F22" s="8"/>
      <c r="G22" s="8"/>
      <c r="H22" s="8"/>
      <c r="I22" s="8"/>
      <c r="K22" s="8">
        <f>K8/K2</f>
        <v>0.87018574876692201</v>
      </c>
      <c r="L22" s="8">
        <f t="shared" ref="L22:W22" si="52">L8/L2</f>
        <v>0.75226966292134834</v>
      </c>
      <c r="M22" s="8">
        <f t="shared" si="52"/>
        <v>0.69411969987785727</v>
      </c>
      <c r="N22" s="8">
        <f t="shared" si="52"/>
        <v>0.60657846390281234</v>
      </c>
      <c r="O22" s="8">
        <f t="shared" si="52"/>
        <v>0.54320459453983183</v>
      </c>
      <c r="P22" s="8">
        <f t="shared" si="52"/>
        <v>0.48645187570731208</v>
      </c>
      <c r="Q22" s="8">
        <f t="shared" si="52"/>
        <v>0.43562854540953316</v>
      </c>
      <c r="R22" s="8">
        <f t="shared" si="52"/>
        <v>0.39011511529211917</v>
      </c>
      <c r="S22" s="8">
        <f t="shared" si="52"/>
        <v>0.32024375135920236</v>
      </c>
      <c r="T22" s="8">
        <f t="shared" si="52"/>
        <v>0.2628866615635243</v>
      </c>
      <c r="U22" s="8">
        <f t="shared" si="52"/>
        <v>0.21580248337304236</v>
      </c>
      <c r="V22" s="8">
        <f t="shared" si="52"/>
        <v>0.17715129232115417</v>
      </c>
      <c r="W22" s="8">
        <f t="shared" si="52"/>
        <v>0.14542270265169371</v>
      </c>
      <c r="Y22" s="5" t="s">
        <v>1</v>
      </c>
      <c r="Z22" s="11">
        <f>Z21/Sheet1!D3</f>
        <v>111.53829165983629</v>
      </c>
    </row>
    <row r="23" spans="1:73" x14ac:dyDescent="0.2">
      <c r="Y23" s="5" t="s">
        <v>22</v>
      </c>
      <c r="Z23" s="8">
        <f>Z22/Sheet1!D2-1</f>
        <v>-6.2703431429947165E-2</v>
      </c>
    </row>
    <row r="24" spans="1:73" x14ac:dyDescent="0.2">
      <c r="A24" s="5" t="s">
        <v>13</v>
      </c>
      <c r="B24" s="5" t="e">
        <f>B20+B18</f>
        <v>#REF!</v>
      </c>
      <c r="K24" s="8">
        <f t="shared" ref="K24:N24" si="53">K20+K18</f>
        <v>-8.4531430370448066E-2</v>
      </c>
      <c r="L24" s="8">
        <f t="shared" si="53"/>
        <v>0.2214662467382244</v>
      </c>
      <c r="M24" s="8">
        <f t="shared" si="53"/>
        <v>0.39622671102754792</v>
      </c>
      <c r="N24" s="8">
        <f t="shared" si="53"/>
        <v>0.5771112586586955</v>
      </c>
      <c r="O24" s="8">
        <f t="shared" ref="O24:W24" si="54">O20+O18</f>
        <v>0.61540652079780567</v>
      </c>
      <c r="P24" s="8">
        <f t="shared" si="54"/>
        <v>0.68034535078370195</v>
      </c>
      <c r="Q24" s="8">
        <f t="shared" si="54"/>
        <v>0.73943665334639097</v>
      </c>
      <c r="R24" s="8">
        <f t="shared" si="54"/>
        <v>0.79330073545136426</v>
      </c>
      <c r="S24" s="8">
        <f t="shared" si="54"/>
        <v>0.85975624864079769</v>
      </c>
      <c r="T24" s="8">
        <f t="shared" si="54"/>
        <v>0.9171133384364758</v>
      </c>
      <c r="U24" s="8">
        <f t="shared" si="54"/>
        <v>0.96419751662695763</v>
      </c>
      <c r="V24" s="8">
        <f t="shared" si="54"/>
        <v>1.0028487076788459</v>
      </c>
      <c r="W24" s="8">
        <f t="shared" si="54"/>
        <v>1.0345772973483065</v>
      </c>
    </row>
    <row r="25" spans="1:73" x14ac:dyDescent="0.2">
      <c r="A25" s="5" t="s">
        <v>33</v>
      </c>
      <c r="K25" s="8">
        <f>K29/K2</f>
        <v>-6.1339070206737345E-2</v>
      </c>
      <c r="L25" s="8">
        <f>L29/L2</f>
        <v>-0.8984269662921347</v>
      </c>
      <c r="M25" s="8">
        <f>M29/M2</f>
        <v>0.38680858488919906</v>
      </c>
      <c r="N25" s="8">
        <f>N29/N2</f>
        <v>0.40662206395361983</v>
      </c>
      <c r="O25" s="8">
        <f>N25*1.1</f>
        <v>0.44728427034898183</v>
      </c>
      <c r="P25" s="8">
        <f t="shared" ref="P25:U25" si="55">O25*1.1</f>
        <v>0.49201269738388004</v>
      </c>
      <c r="Q25" s="8">
        <f t="shared" si="55"/>
        <v>0.5412139671222681</v>
      </c>
      <c r="R25" s="8">
        <f t="shared" si="55"/>
        <v>0.59533536383449492</v>
      </c>
      <c r="S25" s="8">
        <f t="shared" si="55"/>
        <v>0.65486890021794442</v>
      </c>
      <c r="T25" s="8">
        <f t="shared" si="55"/>
        <v>0.72035579023973895</v>
      </c>
      <c r="U25" s="8">
        <f t="shared" si="55"/>
        <v>0.7923913692637129</v>
      </c>
      <c r="V25" s="8">
        <v>0.8</v>
      </c>
      <c r="W25" s="8">
        <v>0.8</v>
      </c>
    </row>
    <row r="26" spans="1:73" x14ac:dyDescent="0.2">
      <c r="M26" s="8"/>
    </row>
    <row r="27" spans="1:73" x14ac:dyDescent="0.2">
      <c r="A27" s="5" t="s">
        <v>16</v>
      </c>
      <c r="K27" s="5">
        <v>223.7</v>
      </c>
      <c r="L27" s="5">
        <v>712.2</v>
      </c>
      <c r="M27" s="5">
        <v>1153.8</v>
      </c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73" x14ac:dyDescent="0.2">
      <c r="A28" s="5" t="s">
        <v>17</v>
      </c>
      <c r="K28" s="5">
        <v>340.6</v>
      </c>
      <c r="L28" s="5">
        <v>2711.2</v>
      </c>
      <c r="M28" s="5">
        <v>45.4</v>
      </c>
      <c r="P28" s="8"/>
    </row>
    <row r="29" spans="1:73" s="7" customFormat="1" x14ac:dyDescent="0.2">
      <c r="A29" s="7" t="s">
        <v>15</v>
      </c>
      <c r="E29" s="7">
        <v>517</v>
      </c>
      <c r="K29" s="7">
        <f>K27-K28</f>
        <v>-116.90000000000003</v>
      </c>
      <c r="L29" s="7">
        <f t="shared" ref="L29:M29" si="56">L27-L28</f>
        <v>-1998.9999999999998</v>
      </c>
      <c r="M29" s="7">
        <f t="shared" si="56"/>
        <v>1108.3999999999999</v>
      </c>
      <c r="N29" s="7">
        <v>1600</v>
      </c>
      <c r="O29" s="7">
        <f>O25*O2</f>
        <v>2358.4</v>
      </c>
      <c r="P29" s="7">
        <f>P25*P2</f>
        <v>3476.2816000000007</v>
      </c>
      <c r="Q29" s="7">
        <f>Q25*Q2</f>
        <v>5124.0390784000019</v>
      </c>
      <c r="R29" s="7">
        <f>R25*R2</f>
        <v>7552.8336015616042</v>
      </c>
      <c r="S29" s="7">
        <f>S25*S2</f>
        <v>11132.876728701804</v>
      </c>
      <c r="T29" s="7">
        <f>T25*T2</f>
        <v>16409.860298106465</v>
      </c>
      <c r="U29" s="7">
        <f>U25*U2</f>
        <v>24188.13407940893</v>
      </c>
      <c r="V29" s="7">
        <f>V25*V2</f>
        <v>32723.324280046283</v>
      </c>
      <c r="W29" s="7">
        <f>W25*W2</f>
        <v>43849.254535262022</v>
      </c>
      <c r="X29" s="7">
        <f>W29*(1+$Z$19)</f>
        <v>44287.747080614645</v>
      </c>
      <c r="Y29" s="7">
        <f>X29*(1+$Z$19)</f>
        <v>44730.624551420791</v>
      </c>
      <c r="Z29" s="7">
        <f>Y29*(1+$Z$19)</f>
        <v>45177.930796934997</v>
      </c>
      <c r="AA29" s="7">
        <f>Z29*(1+$Z$19)</f>
        <v>45629.710104904349</v>
      </c>
      <c r="AB29" s="7">
        <f>AA29*(1+$Z$19)</f>
        <v>46086.007205953392</v>
      </c>
      <c r="AC29" s="7">
        <f>AB29*(1+$Z$19)</f>
        <v>46546.867278012927</v>
      </c>
      <c r="AD29" s="7">
        <f>AC29*(1+$Z$19)</f>
        <v>47012.335950793058</v>
      </c>
      <c r="AE29" s="7">
        <f>AD29*(1+$Z$19)</f>
        <v>47482.45931030099</v>
      </c>
      <c r="AF29" s="7">
        <f>AE29*(1+$Z$19)</f>
        <v>47957.283903404001</v>
      </c>
      <c r="AG29" s="7">
        <f>AF29*(1+$Z$19)</f>
        <v>48436.856742438038</v>
      </c>
      <c r="AH29" s="7">
        <f>AG29*(1+$Z$19)</f>
        <v>48921.225309862421</v>
      </c>
      <c r="AI29" s="7">
        <f>AH29*(1+$Z$19)</f>
        <v>49410.437562961044</v>
      </c>
      <c r="AJ29" s="7">
        <f>AI29*(1+$Z$19)</f>
        <v>49904.541938590657</v>
      </c>
      <c r="AK29" s="7">
        <f>AJ29*(1+$Z$19)</f>
        <v>50403.587357976561</v>
      </c>
      <c r="AL29" s="7">
        <f>AK29*(1+$Z$19)</f>
        <v>50907.623231556325</v>
      </c>
      <c r="AM29" s="7">
        <f>AL29*(1+$Z$19)</f>
        <v>51416.69946387189</v>
      </c>
      <c r="AN29" s="7">
        <f>AM29*(1+$Z$19)</f>
        <v>51930.866458510609</v>
      </c>
      <c r="AO29" s="7">
        <f>AN29*(1+$Z$19)</f>
        <v>52450.175123095716</v>
      </c>
      <c r="AP29" s="7">
        <f>AO29*(1+$Z$19)</f>
        <v>52974.676874326673</v>
      </c>
      <c r="AQ29" s="7">
        <f>AP29*(1+$Z$19)</f>
        <v>53504.423643069938</v>
      </c>
      <c r="AR29" s="7">
        <f>AQ29*(1+$Z$19)</f>
        <v>54039.46787950064</v>
      </c>
      <c r="AS29" s="7">
        <f>AR29*(1+$Z$19)</f>
        <v>54579.862558295645</v>
      </c>
      <c r="AT29" s="7">
        <f>AS29*(1+$Z$19)</f>
        <v>55125.661183878605</v>
      </c>
      <c r="AU29" s="7">
        <f>AT29*(1+$Z$19)</f>
        <v>55676.917795717389</v>
      </c>
      <c r="AV29" s="7">
        <f>AU29*(1+$Z$19)</f>
        <v>56233.686973674565</v>
      </c>
      <c r="AW29" s="7">
        <f>AV29*(1+$Z$19)</f>
        <v>56796.023843411313</v>
      </c>
      <c r="AX29" s="7">
        <f>AW29*(1+$Z$19)</f>
        <v>57363.984081845425</v>
      </c>
      <c r="AY29" s="7">
        <f>AX29*(1+$Z$19)</f>
        <v>57937.623922663879</v>
      </c>
      <c r="AZ29" s="7">
        <f>AY29*(1+$Z$19)</f>
        <v>58517.000161890515</v>
      </c>
      <c r="BA29" s="7">
        <f>AZ29*(1+$Z$19)</f>
        <v>59102.170163509421</v>
      </c>
      <c r="BB29" s="7">
        <f>BA29*(1+$Z$19)</f>
        <v>59693.191865144516</v>
      </c>
      <c r="BC29" s="7">
        <f>BB29*(1+$Z$19)</f>
        <v>60290.123783795963</v>
      </c>
      <c r="BD29" s="7">
        <f>BC29*(1+$Z$19)</f>
        <v>60893.025021633926</v>
      </c>
      <c r="BE29" s="7">
        <f>BD29*(1+$Z$19)</f>
        <v>61501.955271850267</v>
      </c>
      <c r="BF29" s="7">
        <f>BE29*(1+$Z$19)</f>
        <v>62116.974824568773</v>
      </c>
      <c r="BG29" s="7">
        <f>BF29*(1+$Z$19)</f>
        <v>62738.144572814461</v>
      </c>
      <c r="BH29" s="7">
        <f>BG29*(1+$Z$19)</f>
        <v>63365.526018542609</v>
      </c>
      <c r="BI29" s="7">
        <f>BH29*(1+$Z$19)</f>
        <v>63999.181278728036</v>
      </c>
      <c r="BJ29" s="7">
        <f>BI29*(1+$Z$19)</f>
        <v>64639.173091515317</v>
      </c>
      <c r="BK29" s="7">
        <f>BJ29*(1+$Z$19)</f>
        <v>65285.564822430468</v>
      </c>
      <c r="BL29" s="7">
        <f>BK29*(1+$Z$19)</f>
        <v>65938.420470654775</v>
      </c>
      <c r="BM29" s="7">
        <f>BL29*(1+$Z$19)</f>
        <v>66597.804675361331</v>
      </c>
      <c r="BN29" s="7">
        <f>BM29*(1+$Z$19)</f>
        <v>67263.782722114949</v>
      </c>
      <c r="BO29" s="7">
        <f>BN29*(1+$Z$19)</f>
        <v>67936.420549336093</v>
      </c>
      <c r="BP29" s="7">
        <f>BO29*(1+$Z$19)</f>
        <v>68615.784754829452</v>
      </c>
      <c r="BQ29" s="7">
        <f>BP29*(1+$Z$19)</f>
        <v>69301.942602377749</v>
      </c>
      <c r="BR29" s="7">
        <f>BQ29*(1+$Z$19)</f>
        <v>69994.962028401525</v>
      </c>
      <c r="BS29" s="7">
        <f>BR29*(1+$Z$19)</f>
        <v>70694.911648685535</v>
      </c>
      <c r="BT29" s="7">
        <f>BS29*(1+$Z$19)</f>
        <v>71401.860765172387</v>
      </c>
      <c r="BU29" s="7">
        <f>BT29*(1+$Z$19)</f>
        <v>72115.879372824114</v>
      </c>
    </row>
    <row r="30" spans="1:73" x14ac:dyDescent="0.2"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73" x14ac:dyDescent="0.2"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73" x14ac:dyDescent="0.2">
      <c r="A32" s="5" t="s">
        <v>36</v>
      </c>
      <c r="F32" s="5">
        <f>F34-F36</f>
        <v>0</v>
      </c>
      <c r="M32" s="5">
        <f>M34-M36</f>
        <v>4978.8999999999996</v>
      </c>
      <c r="N32" s="5">
        <f>M32+N14</f>
        <v>5685.9592573093087</v>
      </c>
      <c r="O32" s="5">
        <f>N32+O14</f>
        <v>6923.9560177086769</v>
      </c>
      <c r="P32" s="5">
        <f>O32+P14</f>
        <v>8943.6521622710425</v>
      </c>
      <c r="Q32" s="5">
        <f>P32+Q14</f>
        <v>12097.155701201176</v>
      </c>
      <c r="R32" s="5">
        <f>Q32+R14</f>
        <v>16876.283395719045</v>
      </c>
      <c r="S32" s="5">
        <f>R32+S14</f>
        <v>24199.769960352987</v>
      </c>
      <c r="T32" s="5">
        <f>S32+T14</f>
        <v>35088.940607055563</v>
      </c>
      <c r="U32" s="5">
        <f>T32+U14</f>
        <v>50877.918095866742</v>
      </c>
      <c r="V32" s="5">
        <f>U32+V14</f>
        <v>73366.828927458439</v>
      </c>
      <c r="W32" s="5">
        <f>V32+W14</f>
        <v>104981.48833753211</v>
      </c>
    </row>
    <row r="34" spans="1:13" x14ac:dyDescent="0.2">
      <c r="A34" s="5" t="s">
        <v>4</v>
      </c>
      <c r="M34" s="5">
        <f>2098+3131</f>
        <v>5229</v>
      </c>
    </row>
    <row r="36" spans="1:13" x14ac:dyDescent="0.2">
      <c r="A36" s="5" t="s">
        <v>5</v>
      </c>
      <c r="M36" s="5">
        <f>39.8+1.5+195.2+13.6</f>
        <v>250.1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2025-03-17T23:13:16Z</dcterms:created>
  <dcterms:modified xsi:type="dcterms:W3CDTF">2025-06-25T04:07:25Z</dcterms:modified>
</cp:coreProperties>
</file>