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8CE1555-A996-473B-B5EF-B57BEDE011E4}" xr6:coauthVersionLast="47" xr6:coauthVersionMax="47" xr10:uidLastSave="{00000000-0000-0000-0000-000000000000}"/>
  <bookViews>
    <workbookView xWindow="2295" yWindow="285" windowWidth="21945" windowHeight="14610" activeTab="1" xr2:uid="{AC5CAB28-9A24-4953-8C83-84A4698121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L9" i="2"/>
  <c r="M9" i="2"/>
  <c r="N9" i="2"/>
  <c r="J9" i="2"/>
  <c r="F9" i="2"/>
  <c r="G9" i="2"/>
  <c r="H9" i="2"/>
  <c r="I9" i="2" s="1"/>
  <c r="E9" i="2"/>
  <c r="E33" i="2"/>
  <c r="C34" i="2"/>
  <c r="D34" i="2"/>
  <c r="B34" i="2"/>
  <c r="F30" i="2"/>
  <c r="G30" i="2" s="1"/>
  <c r="H30" i="2" s="1"/>
  <c r="I30" i="2" s="1"/>
  <c r="J30" i="2" s="1"/>
  <c r="K30" i="2" s="1"/>
  <c r="L30" i="2" s="1"/>
  <c r="M30" i="2" s="1"/>
  <c r="N30" i="2" s="1"/>
  <c r="E30" i="2"/>
  <c r="J18" i="2"/>
  <c r="K18" i="2" s="1"/>
  <c r="L18" i="2" s="1"/>
  <c r="M18" i="2" s="1"/>
  <c r="N18" i="2" s="1"/>
  <c r="J1" i="2"/>
  <c r="K1" i="2"/>
  <c r="L1" i="2"/>
  <c r="M1" i="2" s="1"/>
  <c r="N1" i="2" s="1"/>
  <c r="E12" i="2"/>
  <c r="E20" i="2"/>
  <c r="C28" i="2"/>
  <c r="D28" i="2"/>
  <c r="B28" i="2"/>
  <c r="D36" i="2"/>
  <c r="D40" i="2"/>
  <c r="D38" i="2"/>
  <c r="F18" i="2"/>
  <c r="G18" i="2"/>
  <c r="H18" i="2"/>
  <c r="I18" i="2"/>
  <c r="E18" i="2"/>
  <c r="E27" i="2"/>
  <c r="E16" i="2" s="1"/>
  <c r="D27" i="2"/>
  <c r="C27" i="2"/>
  <c r="D20" i="2"/>
  <c r="C20" i="2"/>
  <c r="B20" i="2"/>
  <c r="C21" i="2"/>
  <c r="C23" i="2" s="1"/>
  <c r="C25" i="2" s="1"/>
  <c r="D21" i="2"/>
  <c r="D23" i="2" s="1"/>
  <c r="D25" i="2" s="1"/>
  <c r="C17" i="2"/>
  <c r="D17" i="2"/>
  <c r="C19" i="2"/>
  <c r="D19" i="2"/>
  <c r="B19" i="2"/>
  <c r="B21" i="2" s="1"/>
  <c r="B23" i="2" s="1"/>
  <c r="B25" i="2" s="1"/>
  <c r="B17" i="2"/>
  <c r="C30" i="2"/>
  <c r="D30" i="2"/>
  <c r="B30" i="2"/>
  <c r="C13" i="2"/>
  <c r="D13" i="2"/>
  <c r="B13" i="2"/>
  <c r="C9" i="2"/>
  <c r="D9" i="2"/>
  <c r="C12" i="2"/>
  <c r="D12" i="2"/>
  <c r="B12" i="2"/>
  <c r="B9" i="2"/>
  <c r="C1" i="2"/>
  <c r="D1" i="2" s="1"/>
  <c r="E1" i="2" s="1"/>
  <c r="F1" i="2" s="1"/>
  <c r="G1" i="2" s="1"/>
  <c r="H1" i="2" s="1"/>
  <c r="I1" i="2" s="1"/>
  <c r="E6" i="1"/>
  <c r="E5" i="1"/>
  <c r="E4" i="1"/>
  <c r="E7" i="1" s="1"/>
  <c r="F7" i="1" s="1"/>
  <c r="E32" i="2" l="1"/>
  <c r="K27" i="2"/>
  <c r="K12" i="2"/>
  <c r="K13" i="2" s="1"/>
  <c r="J12" i="2"/>
  <c r="J13" i="2" s="1"/>
  <c r="J27" i="2"/>
  <c r="E14" i="2"/>
  <c r="F12" i="2"/>
  <c r="F13" i="2" s="1"/>
  <c r="E15" i="2"/>
  <c r="E17" i="2" s="1"/>
  <c r="G12" i="2"/>
  <c r="H12" i="2"/>
  <c r="G27" i="2"/>
  <c r="G13" i="2"/>
  <c r="E13" i="2"/>
  <c r="F27" i="2"/>
  <c r="F16" i="2" s="1"/>
  <c r="F32" i="2" l="1"/>
  <c r="E34" i="2"/>
  <c r="F33" i="2"/>
  <c r="G33" i="2" s="1"/>
  <c r="E19" i="2"/>
  <c r="E21" i="2" s="1"/>
  <c r="L12" i="2"/>
  <c r="L13" i="2" s="1"/>
  <c r="L27" i="2"/>
  <c r="G16" i="2"/>
  <c r="F14" i="2"/>
  <c r="G14" i="2" s="1"/>
  <c r="F15" i="2"/>
  <c r="G15" i="2" s="1"/>
  <c r="E22" i="2"/>
  <c r="E23" i="2" s="1"/>
  <c r="I12" i="2"/>
  <c r="H27" i="2"/>
  <c r="H13" i="2"/>
  <c r="H33" i="2" l="1"/>
  <c r="F34" i="2"/>
  <c r="G32" i="2"/>
  <c r="M27" i="2"/>
  <c r="M12" i="2"/>
  <c r="M13" i="2" s="1"/>
  <c r="H15" i="2"/>
  <c r="H14" i="2"/>
  <c r="G17" i="2"/>
  <c r="G19" i="2" s="1"/>
  <c r="H16" i="2"/>
  <c r="F17" i="2"/>
  <c r="F19" i="2" s="1"/>
  <c r="E25" i="2"/>
  <c r="E36" i="2"/>
  <c r="I27" i="2"/>
  <c r="I13" i="2"/>
  <c r="G34" i="2" l="1"/>
  <c r="H32" i="2"/>
  <c r="I33" i="2"/>
  <c r="J33" i="2" s="1"/>
  <c r="K33" i="2" s="1"/>
  <c r="L33" i="2" s="1"/>
  <c r="M33" i="2" s="1"/>
  <c r="N12" i="2"/>
  <c r="N13" i="2" s="1"/>
  <c r="N27" i="2"/>
  <c r="F20" i="2"/>
  <c r="F21" i="2"/>
  <c r="F22" i="2" s="1"/>
  <c r="F23" i="2" s="1"/>
  <c r="F25" i="2" s="1"/>
  <c r="I16" i="2"/>
  <c r="J16" i="2" s="1"/>
  <c r="K16" i="2" s="1"/>
  <c r="L16" i="2" s="1"/>
  <c r="M16" i="2" s="1"/>
  <c r="I14" i="2"/>
  <c r="J14" i="2" s="1"/>
  <c r="H17" i="2"/>
  <c r="H19" i="2" s="1"/>
  <c r="I15" i="2"/>
  <c r="J15" i="2" s="1"/>
  <c r="K15" i="2" s="1"/>
  <c r="L15" i="2" s="1"/>
  <c r="M15" i="2" s="1"/>
  <c r="N33" i="2" l="1"/>
  <c r="I32" i="2"/>
  <c r="H34" i="2"/>
  <c r="J17" i="2"/>
  <c r="J19" i="2" s="1"/>
  <c r="K14" i="2"/>
  <c r="N16" i="2"/>
  <c r="N15" i="2"/>
  <c r="I17" i="2"/>
  <c r="I19" i="2" s="1"/>
  <c r="F36" i="2"/>
  <c r="J32" i="2" l="1"/>
  <c r="I34" i="2"/>
  <c r="L14" i="2"/>
  <c r="K17" i="2"/>
  <c r="K19" i="2" s="1"/>
  <c r="G20" i="2"/>
  <c r="G21" i="2" s="1"/>
  <c r="G22" i="2" s="1"/>
  <c r="G23" i="2" s="1"/>
  <c r="K32" i="2" l="1"/>
  <c r="J34" i="2"/>
  <c r="L17" i="2"/>
  <c r="L19" i="2" s="1"/>
  <c r="M14" i="2"/>
  <c r="G25" i="2"/>
  <c r="G36" i="2"/>
  <c r="L32" i="2" l="1"/>
  <c r="K34" i="2"/>
  <c r="M17" i="2"/>
  <c r="M19" i="2" s="1"/>
  <c r="N14" i="2"/>
  <c r="N17" i="2" s="1"/>
  <c r="N19" i="2" s="1"/>
  <c r="H20" i="2"/>
  <c r="H21" i="2" s="1"/>
  <c r="H22" i="2" s="1"/>
  <c r="H23" i="2" s="1"/>
  <c r="H36" i="2" s="1"/>
  <c r="M32" i="2" l="1"/>
  <c r="L34" i="2"/>
  <c r="I20" i="2"/>
  <c r="I21" i="2" s="1"/>
  <c r="I22" i="2" s="1"/>
  <c r="I23" i="2" s="1"/>
  <c r="I25" i="2" s="1"/>
  <c r="H25" i="2"/>
  <c r="I36" i="2" l="1"/>
  <c r="N32" i="2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Q19" i="2" s="1"/>
  <c r="M34" i="2"/>
  <c r="J20" i="2"/>
  <c r="J21" i="2" s="1"/>
  <c r="J22" i="2" s="1"/>
  <c r="J23" i="2" s="1"/>
  <c r="J25" i="2" s="1"/>
  <c r="J36" i="2" l="1"/>
  <c r="K20" i="2" s="1"/>
  <c r="K21" i="2" s="1"/>
  <c r="K22" i="2" s="1"/>
  <c r="K23" i="2" s="1"/>
  <c r="K25" i="2" s="1"/>
  <c r="K36" i="2" l="1"/>
  <c r="L20" i="2"/>
  <c r="L21" i="2" s="1"/>
  <c r="L22" i="2" s="1"/>
  <c r="L23" i="2" s="1"/>
  <c r="L25" i="2" s="1"/>
  <c r="L36" i="2" l="1"/>
  <c r="M20" i="2" s="1"/>
  <c r="M21" i="2" s="1"/>
  <c r="M22" i="2"/>
  <c r="M23" i="2" s="1"/>
  <c r="M25" i="2" l="1"/>
  <c r="M36" i="2"/>
  <c r="N20" i="2" s="1"/>
  <c r="N21" i="2" l="1"/>
  <c r="N22" i="2" l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N25" i="2" l="1"/>
  <c r="Q20" i="2"/>
  <c r="Q21" i="2" s="1"/>
  <c r="N36" i="2"/>
</calcChain>
</file>

<file path=xl/sharedStrings.xml><?xml version="1.0" encoding="utf-8"?>
<sst xmlns="http://schemas.openxmlformats.org/spreadsheetml/2006/main" count="45" uniqueCount="40">
  <si>
    <t>SBUX</t>
  </si>
  <si>
    <t>Price</t>
  </si>
  <si>
    <t>Shares</t>
  </si>
  <si>
    <t>MC</t>
  </si>
  <si>
    <t>Cash</t>
  </si>
  <si>
    <t>Debt</t>
  </si>
  <si>
    <t>EV</t>
  </si>
  <si>
    <t>Company Stores</t>
  </si>
  <si>
    <t>Licensed Stores</t>
  </si>
  <si>
    <t>Other</t>
  </si>
  <si>
    <t>Revenue</t>
  </si>
  <si>
    <t>Product &amp; Distribution</t>
  </si>
  <si>
    <t>Store OPEX</t>
  </si>
  <si>
    <t>D&amp;A</t>
  </si>
  <si>
    <t>G&amp;A</t>
  </si>
  <si>
    <t>OPEX</t>
  </si>
  <si>
    <t>Operating Income</t>
  </si>
  <si>
    <t>Gross Profit</t>
  </si>
  <si>
    <t>COGS</t>
  </si>
  <si>
    <t>Income From Equity</t>
  </si>
  <si>
    <t>Interest</t>
  </si>
  <si>
    <t>Pretax Income</t>
  </si>
  <si>
    <t>Tax</t>
  </si>
  <si>
    <t>Net Income</t>
  </si>
  <si>
    <t>EPS</t>
  </si>
  <si>
    <t>Revenue Growth</t>
  </si>
  <si>
    <t>Tax Rate</t>
  </si>
  <si>
    <t>Gross Margin</t>
  </si>
  <si>
    <t>CFFO</t>
  </si>
  <si>
    <t>CX</t>
  </si>
  <si>
    <t>FCF</t>
  </si>
  <si>
    <t>Net Cash</t>
  </si>
  <si>
    <t>China Revenue</t>
  </si>
  <si>
    <t>USA Revenue</t>
  </si>
  <si>
    <t>Europe Revenue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</si>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</sst>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0" fontId="1" fillId="0" borderId="0" xfId="0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4</xdr:col>
      <xdr:colOff>28575</xdr:colOff>
      <xdr:row>41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D384C3-D629-AC71-80BC-8C2CA7686193}"/>
            </a:ext>
          </a:extLst>
        </xdr:cNvPr>
        <xdr:cNvCxnSpPr/>
      </xdr:nvCxnSpPr>
      <xdr:spPr>
        <a:xfrm flipH="1">
          <a:off x="3171825" y="19050"/>
          <a:ext cx="28575" cy="7096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882F-E6B5-4967-9D52-4225DADE4714}">
  <dimension ref="B1:F7"/>
  <sheetViews>
    <sheetView topLeftCell="B1" zoomScale="250" zoomScaleNormal="250" workbookViewId="0">
      <selection activeCell="B10" sqref="A8:XFD10"/>
    </sheetView>
  </sheetViews>
  <sheetFormatPr defaultRowHeight="14.25" x14ac:dyDescent="0.2"/>
  <cols>
    <col min="1" max="16384" width="9.140625" style="8"/>
  </cols>
  <sheetData>
    <row r="1" spans="2:6" ht="15" x14ac:dyDescent="0.25">
      <c r="B1" s="9" t="s">
        <v>0</v>
      </c>
    </row>
    <row r="2" spans="2:6" x14ac:dyDescent="0.2">
      <c r="D2" s="8" t="s">
        <v>1</v>
      </c>
      <c r="E2" s="6">
        <v>84</v>
      </c>
    </row>
    <row r="3" spans="2:6" x14ac:dyDescent="0.2">
      <c r="D3" s="8" t="s">
        <v>2</v>
      </c>
      <c r="E3" s="1">
        <v>1136</v>
      </c>
    </row>
    <row r="4" spans="2:6" x14ac:dyDescent="0.2">
      <c r="D4" s="8" t="s">
        <v>3</v>
      </c>
      <c r="E4" s="1">
        <f>E3*E2</f>
        <v>95424</v>
      </c>
    </row>
    <row r="5" spans="2:6" x14ac:dyDescent="0.2">
      <c r="D5" s="8" t="s">
        <v>4</v>
      </c>
      <c r="E5" s="1">
        <f>3671+286</f>
        <v>3957</v>
      </c>
    </row>
    <row r="6" spans="2:6" x14ac:dyDescent="0.2">
      <c r="D6" s="8" t="s">
        <v>5</v>
      </c>
      <c r="E6" s="1">
        <f>14312+5941+8857+522</f>
        <v>29632</v>
      </c>
    </row>
    <row r="7" spans="2:6" x14ac:dyDescent="0.2">
      <c r="D7" s="8" t="s">
        <v>6</v>
      </c>
      <c r="E7" s="1">
        <f>E4+E6-E5</f>
        <v>121099</v>
      </c>
      <c r="F7" s="8">
        <f>E7/E3</f>
        <v>106.60123239436619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B5EC-B242-4621-B3D2-D91A53852D51}">
  <dimension ref="A1:DC40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N9" sqref="N9"/>
    </sheetView>
  </sheetViews>
  <sheetFormatPr defaultRowHeight="14.25" x14ac:dyDescent="0.2"/>
  <cols>
    <col min="1" max="1" width="20.140625" style="1" customWidth="1"/>
    <col min="2" max="16384" width="9.140625" style="1"/>
  </cols>
  <sheetData>
    <row r="1" spans="1:17" x14ac:dyDescent="0.2">
      <c r="B1" s="2">
        <v>2022</v>
      </c>
      <c r="C1" s="2">
        <f>B1+1</f>
        <v>2023</v>
      </c>
      <c r="D1" s="2">
        <f>C1+1</f>
        <v>2024</v>
      </c>
      <c r="E1" s="2">
        <f t="shared" ref="E1:N1" si="0">D1+1</f>
        <v>2025</v>
      </c>
      <c r="F1" s="2">
        <f t="shared" si="0"/>
        <v>2026</v>
      </c>
      <c r="G1" s="2">
        <f t="shared" si="0"/>
        <v>2027</v>
      </c>
      <c r="H1" s="2">
        <f t="shared" si="0"/>
        <v>2028</v>
      </c>
      <c r="I1" s="2">
        <f t="shared" si="0"/>
        <v>2029</v>
      </c>
      <c r="J1" s="2">
        <f t="shared" si="0"/>
        <v>2030</v>
      </c>
      <c r="K1" s="2">
        <f t="shared" si="0"/>
        <v>2031</v>
      </c>
      <c r="L1" s="2">
        <f t="shared" si="0"/>
        <v>2032</v>
      </c>
      <c r="M1" s="2">
        <f t="shared" si="0"/>
        <v>2033</v>
      </c>
      <c r="N1" s="2">
        <f t="shared" si="0"/>
        <v>2034</v>
      </c>
    </row>
    <row r="2" spans="1:17" x14ac:dyDescent="0.2">
      <c r="A2" s="1" t="s">
        <v>32</v>
      </c>
    </row>
    <row r="3" spans="1:17" x14ac:dyDescent="0.2">
      <c r="A3" s="1" t="s">
        <v>33</v>
      </c>
    </row>
    <row r="4" spans="1:17" x14ac:dyDescent="0.2">
      <c r="A4" s="1" t="s">
        <v>34</v>
      </c>
    </row>
    <row r="6" spans="1:17" x14ac:dyDescent="0.2">
      <c r="A6" s="1" t="s">
        <v>7</v>
      </c>
      <c r="B6" s="1">
        <v>26575</v>
      </c>
      <c r="C6" s="1">
        <v>29462</v>
      </c>
      <c r="D6" s="1">
        <v>29766</v>
      </c>
    </row>
    <row r="7" spans="1:17" x14ac:dyDescent="0.2">
      <c r="A7" s="1" t="s">
        <v>8</v>
      </c>
      <c r="B7" s="1">
        <v>3655</v>
      </c>
      <c r="C7" s="1">
        <v>4513</v>
      </c>
      <c r="D7" s="1">
        <v>4505</v>
      </c>
    </row>
    <row r="8" spans="1:17" x14ac:dyDescent="0.2">
      <c r="A8" s="1" t="s">
        <v>9</v>
      </c>
      <c r="B8" s="1">
        <v>2019</v>
      </c>
      <c r="C8" s="1">
        <v>2001</v>
      </c>
      <c r="D8" s="1">
        <v>1905</v>
      </c>
    </row>
    <row r="9" spans="1:17" s="3" customFormat="1" ht="15" x14ac:dyDescent="0.25">
      <c r="A9" s="3" t="s">
        <v>10</v>
      </c>
      <c r="B9" s="3">
        <f>SUM(B6:B8)</f>
        <v>32249</v>
      </c>
      <c r="C9" s="3">
        <f t="shared" ref="C9:D9" si="1">SUM(C6:C8)</f>
        <v>35976</v>
      </c>
      <c r="D9" s="3">
        <f t="shared" si="1"/>
        <v>36176</v>
      </c>
      <c r="E9" s="3">
        <f>D9*1.06</f>
        <v>38346.560000000005</v>
      </c>
      <c r="F9" s="3">
        <f t="shared" ref="F9:I9" si="2">E9*1.06</f>
        <v>40647.353600000009</v>
      </c>
      <c r="G9" s="3">
        <f t="shared" si="2"/>
        <v>43086.19481600001</v>
      </c>
      <c r="H9" s="3">
        <f t="shared" si="2"/>
        <v>45671.366504960009</v>
      </c>
      <c r="I9" s="3">
        <f t="shared" si="2"/>
        <v>48411.648495257614</v>
      </c>
      <c r="J9" s="3">
        <f>I9*1.02</f>
        <v>49379.881465162769</v>
      </c>
      <c r="K9" s="3">
        <f t="shared" ref="K9:N9" si="3">J9*1.02</f>
        <v>50367.479094466027</v>
      </c>
      <c r="L9" s="3">
        <f t="shared" si="3"/>
        <v>51374.828676355348</v>
      </c>
      <c r="M9" s="3">
        <f t="shared" si="3"/>
        <v>52402.325249882459</v>
      </c>
      <c r="N9" s="3">
        <f t="shared" si="3"/>
        <v>53450.371754880107</v>
      </c>
    </row>
    <row r="10" spans="1:17" x14ac:dyDescent="0.2">
      <c r="A10" s="1" t="s">
        <v>11</v>
      </c>
      <c r="B10" s="1">
        <v>10317</v>
      </c>
      <c r="C10" s="1">
        <v>11409</v>
      </c>
      <c r="D10" s="1">
        <v>11181</v>
      </c>
    </row>
    <row r="11" spans="1:17" x14ac:dyDescent="0.2">
      <c r="A11" s="1" t="s">
        <v>12</v>
      </c>
      <c r="B11" s="1">
        <v>13562</v>
      </c>
      <c r="C11" s="1">
        <v>14720</v>
      </c>
      <c r="D11" s="1">
        <v>15286</v>
      </c>
    </row>
    <row r="12" spans="1:17" x14ac:dyDescent="0.2">
      <c r="A12" s="1" t="s">
        <v>18</v>
      </c>
      <c r="B12" s="1">
        <f>SUM(B10:B11)</f>
        <v>23879</v>
      </c>
      <c r="C12" s="1">
        <f t="shared" ref="C12:D12" si="4">SUM(C10:C11)</f>
        <v>26129</v>
      </c>
      <c r="D12" s="1">
        <f t="shared" si="4"/>
        <v>26467</v>
      </c>
      <c r="E12" s="1">
        <f>E9*(1-E30)</f>
        <v>27952.104600000006</v>
      </c>
      <c r="F12" s="1">
        <f t="shared" ref="F12:I12" si="5">F9*(1-F30)</f>
        <v>29519.049648760007</v>
      </c>
      <c r="G12" s="1">
        <f t="shared" si="5"/>
        <v>31172.232605802463</v>
      </c>
      <c r="H12" s="1">
        <f t="shared" si="5"/>
        <v>32916.278562722517</v>
      </c>
      <c r="I12" s="1">
        <f t="shared" si="5"/>
        <v>34756.051344298154</v>
      </c>
      <c r="J12" s="1">
        <f t="shared" ref="J12:N12" si="6">J9*(1-J30)</f>
        <v>35311.885280244336</v>
      </c>
      <c r="K12" s="1">
        <f t="shared" si="6"/>
        <v>35874.629424763058</v>
      </c>
      <c r="L12" s="1">
        <f t="shared" si="6"/>
        <v>36444.294946627349</v>
      </c>
      <c r="M12" s="1">
        <f t="shared" si="6"/>
        <v>37020.889401516666</v>
      </c>
      <c r="N12" s="1">
        <f t="shared" si="6"/>
        <v>37604.416543893669</v>
      </c>
    </row>
    <row r="13" spans="1:17" x14ac:dyDescent="0.2">
      <c r="A13" s="1" t="s">
        <v>17</v>
      </c>
      <c r="B13" s="1">
        <f>B9-B12</f>
        <v>8370</v>
      </c>
      <c r="C13" s="1">
        <f t="shared" ref="C13:D13" si="7">C9-C12</f>
        <v>9847</v>
      </c>
      <c r="D13" s="1">
        <f t="shared" si="7"/>
        <v>9709</v>
      </c>
      <c r="E13" s="1">
        <f t="shared" ref="E13" si="8">E9-E12</f>
        <v>10394.455399999999</v>
      </c>
      <c r="F13" s="1">
        <f t="shared" ref="F13" si="9">F9-F12</f>
        <v>11128.303951240003</v>
      </c>
      <c r="G13" s="1">
        <f t="shared" ref="G13" si="10">G9-G12</f>
        <v>11913.962210197547</v>
      </c>
      <c r="H13" s="1">
        <f t="shared" ref="H13" si="11">H9-H12</f>
        <v>12755.087942237493</v>
      </c>
      <c r="I13" s="1">
        <f t="shared" ref="I13" si="12">I9-I12</f>
        <v>13655.59715095946</v>
      </c>
      <c r="J13" s="1">
        <f t="shared" ref="J13" si="13">J9-J12</f>
        <v>14067.996184918433</v>
      </c>
      <c r="K13" s="1">
        <f t="shared" ref="K13" si="14">K9-K12</f>
        <v>14492.84966970297</v>
      </c>
      <c r="L13" s="1">
        <f t="shared" ref="L13" si="15">L9-L12</f>
        <v>14930.533729727998</v>
      </c>
      <c r="M13" s="1">
        <f t="shared" ref="M13" si="16">M9-M12</f>
        <v>15381.435848365792</v>
      </c>
      <c r="N13" s="1">
        <f t="shared" ref="N13" si="17">N9-N12</f>
        <v>15845.955210986438</v>
      </c>
    </row>
    <row r="14" spans="1:17" x14ac:dyDescent="0.2">
      <c r="A14" s="1" t="s">
        <v>9</v>
      </c>
      <c r="B14" s="1">
        <v>462</v>
      </c>
      <c r="C14" s="1">
        <v>539</v>
      </c>
      <c r="D14" s="1">
        <v>566</v>
      </c>
      <c r="E14" s="1">
        <f>D14*(1+E27)</f>
        <v>599.96</v>
      </c>
      <c r="F14" s="1">
        <f t="shared" ref="F14:I14" si="18">E14*(1+F27)</f>
        <v>635.95760000000007</v>
      </c>
      <c r="G14" s="1">
        <f t="shared" si="18"/>
        <v>674.1150560000001</v>
      </c>
      <c r="H14" s="1">
        <f t="shared" si="18"/>
        <v>714.56195936000017</v>
      </c>
      <c r="I14" s="1">
        <f t="shared" si="18"/>
        <v>757.43567692160025</v>
      </c>
      <c r="J14" s="1">
        <f t="shared" ref="J14:N14" si="19">I14*(1+J27)</f>
        <v>772.5843904600323</v>
      </c>
      <c r="K14" s="1">
        <f t="shared" si="19"/>
        <v>788.03607826923292</v>
      </c>
      <c r="L14" s="1">
        <f t="shared" si="19"/>
        <v>803.79679983461756</v>
      </c>
      <c r="M14" s="1">
        <f t="shared" si="19"/>
        <v>819.87273583130991</v>
      </c>
      <c r="N14" s="1">
        <f t="shared" si="19"/>
        <v>836.27019054793607</v>
      </c>
    </row>
    <row r="15" spans="1:17" x14ac:dyDescent="0.2">
      <c r="A15" s="1" t="s">
        <v>13</v>
      </c>
      <c r="B15" s="1">
        <v>1448</v>
      </c>
      <c r="C15" s="1">
        <v>1363</v>
      </c>
      <c r="D15" s="1">
        <v>1513</v>
      </c>
      <c r="E15" s="1">
        <f>D15*(1+E27)</f>
        <v>1603.78</v>
      </c>
      <c r="F15" s="1">
        <f t="shared" ref="F15:I15" si="20">E15*(1+F27)</f>
        <v>1700.0068000000001</v>
      </c>
      <c r="G15" s="1">
        <f t="shared" si="20"/>
        <v>1802.0072080000002</v>
      </c>
      <c r="H15" s="1">
        <f t="shared" si="20"/>
        <v>1910.1276404800003</v>
      </c>
      <c r="I15" s="1">
        <f t="shared" si="20"/>
        <v>2024.7352989088004</v>
      </c>
      <c r="J15" s="1">
        <f t="shared" ref="J15:N15" si="21">I15*(1+J27)</f>
        <v>2065.2300048869765</v>
      </c>
      <c r="K15" s="1">
        <f t="shared" si="21"/>
        <v>2106.5346049847162</v>
      </c>
      <c r="L15" s="1">
        <f t="shared" si="21"/>
        <v>2148.6652970844107</v>
      </c>
      <c r="M15" s="1">
        <f t="shared" si="21"/>
        <v>2191.6386030260987</v>
      </c>
      <c r="N15" s="1">
        <f t="shared" si="21"/>
        <v>2235.4713750866208</v>
      </c>
      <c r="Q15" s="10"/>
    </row>
    <row r="16" spans="1:17" x14ac:dyDescent="0.2">
      <c r="A16" s="1" t="s">
        <v>14</v>
      </c>
      <c r="B16" s="1">
        <v>2032</v>
      </c>
      <c r="C16" s="1">
        <v>2441</v>
      </c>
      <c r="D16" s="1">
        <v>2523</v>
      </c>
      <c r="E16" s="1">
        <f>D16*(1+E27)</f>
        <v>2674.38</v>
      </c>
      <c r="F16" s="1">
        <f t="shared" ref="F16:I16" si="22">E16*(1+F27)</f>
        <v>2834.8428000000004</v>
      </c>
      <c r="G16" s="1">
        <f t="shared" si="22"/>
        <v>3004.9333680000004</v>
      </c>
      <c r="H16" s="1">
        <f t="shared" si="22"/>
        <v>3185.2293700800005</v>
      </c>
      <c r="I16" s="1">
        <f t="shared" si="22"/>
        <v>3376.343132284801</v>
      </c>
      <c r="J16" s="1">
        <f t="shared" ref="J16:N16" si="23">I16*(1+J27)</f>
        <v>3443.8699949304969</v>
      </c>
      <c r="K16" s="1">
        <f t="shared" si="23"/>
        <v>3512.7473948291067</v>
      </c>
      <c r="L16" s="1">
        <f t="shared" si="23"/>
        <v>3583.0023427256888</v>
      </c>
      <c r="M16" s="1">
        <f t="shared" si="23"/>
        <v>3654.6623895802027</v>
      </c>
      <c r="N16" s="1">
        <f t="shared" si="23"/>
        <v>3727.7556373718066</v>
      </c>
      <c r="P16" s="1" t="s">
        <v>35</v>
      </c>
      <c r="Q16" s="10">
        <v>0.02</v>
      </c>
    </row>
    <row r="17" spans="1:103" x14ac:dyDescent="0.2">
      <c r="A17" s="1" t="s">
        <v>15</v>
      </c>
      <c r="B17" s="1">
        <f>SUM(B14:B16)</f>
        <v>3942</v>
      </c>
      <c r="C17" s="1">
        <f t="shared" ref="C17:I17" si="24">SUM(C14:C16)</f>
        <v>4343</v>
      </c>
      <c r="D17" s="1">
        <f t="shared" si="24"/>
        <v>4602</v>
      </c>
      <c r="E17" s="1">
        <f t="shared" si="24"/>
        <v>4878.12</v>
      </c>
      <c r="F17" s="1">
        <f t="shared" si="24"/>
        <v>5170.8072000000011</v>
      </c>
      <c r="G17" s="1">
        <f t="shared" si="24"/>
        <v>5481.0556320000014</v>
      </c>
      <c r="H17" s="1">
        <f t="shared" si="24"/>
        <v>5809.9189699200015</v>
      </c>
      <c r="I17" s="1">
        <f t="shared" si="24"/>
        <v>6158.5141081152015</v>
      </c>
      <c r="J17" s="1">
        <f t="shared" ref="J17" si="25">SUM(J14:J16)</f>
        <v>6281.6843902775054</v>
      </c>
      <c r="K17" s="1">
        <f t="shared" ref="K17" si="26">SUM(K14:K16)</f>
        <v>6407.3180780830553</v>
      </c>
      <c r="L17" s="1">
        <f t="shared" ref="L17" si="27">SUM(L14:L16)</f>
        <v>6535.4644396447165</v>
      </c>
      <c r="M17" s="1">
        <f t="shared" ref="M17" si="28">SUM(M14:M16)</f>
        <v>6666.1737284376113</v>
      </c>
      <c r="N17" s="1">
        <f t="shared" ref="N17" si="29">SUM(N14:N16)</f>
        <v>6799.4972030063636</v>
      </c>
      <c r="P17" s="1" t="s">
        <v>36</v>
      </c>
      <c r="Q17" s="10">
        <v>0.01</v>
      </c>
    </row>
    <row r="18" spans="1:103" x14ac:dyDescent="0.2">
      <c r="A18" s="1" t="s">
        <v>19</v>
      </c>
      <c r="B18" s="1">
        <v>234</v>
      </c>
      <c r="C18" s="1">
        <v>298</v>
      </c>
      <c r="D18" s="1">
        <v>301</v>
      </c>
      <c r="E18" s="1">
        <f>D18*1.02</f>
        <v>307.02</v>
      </c>
      <c r="F18" s="1">
        <f t="shared" ref="F18:I18" si="30">E18*1.02</f>
        <v>313.16039999999998</v>
      </c>
      <c r="G18" s="1">
        <f t="shared" si="30"/>
        <v>319.423608</v>
      </c>
      <c r="H18" s="1">
        <f t="shared" si="30"/>
        <v>325.81208015999999</v>
      </c>
      <c r="I18" s="1">
        <f t="shared" si="30"/>
        <v>332.32832176319999</v>
      </c>
      <c r="J18" s="1">
        <f t="shared" ref="J18:N18" si="31">I18*1.02</f>
        <v>338.97488819846399</v>
      </c>
      <c r="K18" s="1">
        <f t="shared" si="31"/>
        <v>345.75438596243328</v>
      </c>
      <c r="L18" s="1">
        <f t="shared" si="31"/>
        <v>352.66947368168195</v>
      </c>
      <c r="M18" s="1">
        <f t="shared" si="31"/>
        <v>359.72286315531562</v>
      </c>
      <c r="N18" s="1">
        <f t="shared" si="31"/>
        <v>366.91732041842192</v>
      </c>
      <c r="P18" s="1" t="s">
        <v>37</v>
      </c>
      <c r="Q18" s="5">
        <v>7.4999999999999997E-2</v>
      </c>
    </row>
    <row r="19" spans="1:103" ht="15" x14ac:dyDescent="0.25">
      <c r="A19" s="1" t="s">
        <v>16</v>
      </c>
      <c r="B19" s="1">
        <f>B13-B17+B18</f>
        <v>4662</v>
      </c>
      <c r="C19" s="1">
        <f t="shared" ref="C19:I19" si="32">C13-C17+C18</f>
        <v>5802</v>
      </c>
      <c r="D19" s="1">
        <f t="shared" si="32"/>
        <v>5408</v>
      </c>
      <c r="E19" s="1">
        <f t="shared" si="32"/>
        <v>5823.3553999999986</v>
      </c>
      <c r="F19" s="1">
        <f t="shared" si="32"/>
        <v>6270.6571512400014</v>
      </c>
      <c r="G19" s="1">
        <f t="shared" si="32"/>
        <v>6752.330186197546</v>
      </c>
      <c r="H19" s="1">
        <f t="shared" si="32"/>
        <v>7270.9810524774912</v>
      </c>
      <c r="I19" s="1">
        <f t="shared" si="32"/>
        <v>7829.4113646074584</v>
      </c>
      <c r="J19" s="1">
        <f t="shared" ref="J19" si="33">J13-J17+J18</f>
        <v>8125.2866828393917</v>
      </c>
      <c r="K19" s="1">
        <f t="shared" ref="K19" si="34">K13-K17+K18</f>
        <v>8431.2859775823472</v>
      </c>
      <c r="L19" s="1">
        <f t="shared" ref="L19" si="35">L13-L17+L18</f>
        <v>8747.7387637649645</v>
      </c>
      <c r="M19" s="1">
        <f t="shared" ref="M19" si="36">M13-M17+M18</f>
        <v>9074.9849830834974</v>
      </c>
      <c r="N19" s="1">
        <f t="shared" ref="N19" si="37">N13-N17+N18</f>
        <v>9413.375328398497</v>
      </c>
      <c r="P19" s="1" t="s">
        <v>38</v>
      </c>
      <c r="Q19" s="3">
        <f>NPV(Q18,E34:XFD34)+Sheet1!E5-Sheet1!E6</f>
        <v>85753.43618903376</v>
      </c>
    </row>
    <row r="20" spans="1:103" x14ac:dyDescent="0.2">
      <c r="A20" s="1" t="s">
        <v>20</v>
      </c>
      <c r="B20" s="1">
        <f>97-483</f>
        <v>-386</v>
      </c>
      <c r="C20" s="1">
        <f>81-550</f>
        <v>-469</v>
      </c>
      <c r="D20" s="1">
        <f>123-562</f>
        <v>-439</v>
      </c>
      <c r="E20" s="1">
        <f>D36*$Q$15</f>
        <v>0</v>
      </c>
      <c r="F20" s="1">
        <f>E36*$Q$15</f>
        <v>0</v>
      </c>
      <c r="G20" s="1">
        <f>F36*$Q$15</f>
        <v>0</v>
      </c>
      <c r="H20" s="1">
        <f>G36*$Q$15</f>
        <v>0</v>
      </c>
      <c r="I20" s="1">
        <f>H36*$Q$15</f>
        <v>0</v>
      </c>
      <c r="J20" s="1">
        <f t="shared" ref="J20" si="38">I36*$Q$15</f>
        <v>0</v>
      </c>
      <c r="K20" s="1">
        <f>J36*$Q$16</f>
        <v>151.2379450303178</v>
      </c>
      <c r="L20" s="1">
        <f t="shared" ref="L20:N20" si="39">K36*$Q$16</f>
        <v>286.8418230075979</v>
      </c>
      <c r="M20" s="1">
        <f t="shared" si="39"/>
        <v>429.58819627860436</v>
      </c>
      <c r="N20" s="1">
        <f t="shared" si="39"/>
        <v>579.7604525125256</v>
      </c>
      <c r="P20" s="1" t="s">
        <v>1</v>
      </c>
      <c r="Q20" s="6">
        <f>Q19/Sheet1!E3</f>
        <v>75.487179743867742</v>
      </c>
    </row>
    <row r="21" spans="1:103" x14ac:dyDescent="0.2">
      <c r="A21" s="1" t="s">
        <v>21</v>
      </c>
      <c r="B21" s="1">
        <f>B19+B20</f>
        <v>4276</v>
      </c>
      <c r="C21" s="1">
        <f t="shared" ref="C21:I21" si="40">C19+C20</f>
        <v>5333</v>
      </c>
      <c r="D21" s="1">
        <f t="shared" si="40"/>
        <v>4969</v>
      </c>
      <c r="E21" s="1">
        <f t="shared" si="40"/>
        <v>5823.3553999999986</v>
      </c>
      <c r="F21" s="1">
        <f t="shared" si="40"/>
        <v>6270.6571512400014</v>
      </c>
      <c r="G21" s="1">
        <f t="shared" si="40"/>
        <v>6752.330186197546</v>
      </c>
      <c r="H21" s="1">
        <f t="shared" si="40"/>
        <v>7270.9810524774912</v>
      </c>
      <c r="I21" s="1">
        <f t="shared" si="40"/>
        <v>7829.4113646074584</v>
      </c>
      <c r="J21" s="1">
        <f t="shared" ref="J21" si="41">J19+J20</f>
        <v>8125.2866828393917</v>
      </c>
      <c r="K21" s="1">
        <f t="shared" ref="K21" si="42">K19+K20</f>
        <v>8582.523922612665</v>
      </c>
      <c r="L21" s="1">
        <f t="shared" ref="L21" si="43">L19+L20</f>
        <v>9034.580586772563</v>
      </c>
      <c r="M21" s="1">
        <f t="shared" ref="M21" si="44">M19+M20</f>
        <v>9504.5731793621017</v>
      </c>
      <c r="N21" s="1">
        <f t="shared" ref="N21" si="45">N19+N20</f>
        <v>9993.1357809110232</v>
      </c>
      <c r="P21" s="1" t="s">
        <v>39</v>
      </c>
      <c r="Q21" s="4">
        <f>Q20/Sheet1!E2-1</f>
        <v>-0.10134309828728882</v>
      </c>
    </row>
    <row r="22" spans="1:103" x14ac:dyDescent="0.2">
      <c r="A22" s="1" t="s">
        <v>22</v>
      </c>
      <c r="B22" s="1">
        <v>949</v>
      </c>
      <c r="C22" s="1">
        <v>1277</v>
      </c>
      <c r="D22" s="1">
        <v>1207</v>
      </c>
      <c r="E22" s="1">
        <f>E28*E21</f>
        <v>1222.9046339999998</v>
      </c>
      <c r="F22" s="1">
        <f t="shared" ref="F22:I22" si="46">F28*F21</f>
        <v>1316.8380017604002</v>
      </c>
      <c r="G22" s="1">
        <f t="shared" si="46"/>
        <v>1417.9893391014846</v>
      </c>
      <c r="H22" s="1">
        <f t="shared" si="46"/>
        <v>1526.9060210202731</v>
      </c>
      <c r="I22" s="1">
        <f t="shared" si="46"/>
        <v>1644.1763865675662</v>
      </c>
      <c r="J22" s="1">
        <f t="shared" ref="J22" si="47">J28*J21</f>
        <v>1706.3102033962723</v>
      </c>
      <c r="K22" s="1">
        <f t="shared" ref="K22" si="48">K28*K21</f>
        <v>1802.3300237486596</v>
      </c>
      <c r="L22" s="1">
        <f t="shared" ref="L22" si="49">L28*L21</f>
        <v>1897.2619232222382</v>
      </c>
      <c r="M22" s="1">
        <f t="shared" ref="M22" si="50">M28*M21</f>
        <v>1995.9603676660413</v>
      </c>
      <c r="N22" s="1">
        <f t="shared" ref="N22" si="51">N28*N21</f>
        <v>2098.5585139913146</v>
      </c>
    </row>
    <row r="23" spans="1:103" s="3" customFormat="1" ht="15" x14ac:dyDescent="0.25">
      <c r="A23" s="3" t="s">
        <v>23</v>
      </c>
      <c r="B23" s="3">
        <f>B21-B22</f>
        <v>3327</v>
      </c>
      <c r="C23" s="3">
        <f t="shared" ref="C23:I23" si="52">C21-C22</f>
        <v>4056</v>
      </c>
      <c r="D23" s="3">
        <f t="shared" si="52"/>
        <v>3762</v>
      </c>
      <c r="E23" s="3">
        <f t="shared" si="52"/>
        <v>4600.450765999999</v>
      </c>
      <c r="F23" s="3">
        <f t="shared" si="52"/>
        <v>4953.819149479601</v>
      </c>
      <c r="G23" s="3">
        <f t="shared" si="52"/>
        <v>5334.3408470960612</v>
      </c>
      <c r="H23" s="3">
        <f t="shared" si="52"/>
        <v>5744.0750314572178</v>
      </c>
      <c r="I23" s="3">
        <f t="shared" si="52"/>
        <v>6185.2349780398927</v>
      </c>
      <c r="J23" s="3">
        <f t="shared" ref="J23" si="53">J21-J22</f>
        <v>6418.9764794431194</v>
      </c>
      <c r="K23" s="3">
        <f t="shared" ref="K23" si="54">K21-K22</f>
        <v>6780.193898864005</v>
      </c>
      <c r="L23" s="3">
        <f t="shared" ref="L23" si="55">L21-L22</f>
        <v>7137.3186635503243</v>
      </c>
      <c r="M23" s="3">
        <f t="shared" ref="M23" si="56">M21-M22</f>
        <v>7508.6128116960608</v>
      </c>
      <c r="N23" s="3">
        <f t="shared" ref="N23" si="57">N21-N22</f>
        <v>7894.5772669197086</v>
      </c>
      <c r="O23" s="3">
        <f>N23*(1+$Q$17)</f>
        <v>7973.5230395889057</v>
      </c>
      <c r="P23" s="3">
        <f t="shared" ref="P23:CA23" si="58">O23*(1+$Q$17)</f>
        <v>8053.2582699847944</v>
      </c>
      <c r="Q23" s="3">
        <f t="shared" si="58"/>
        <v>8133.7908526846422</v>
      </c>
      <c r="R23" s="3">
        <f t="shared" si="58"/>
        <v>8215.1287612114884</v>
      </c>
      <c r="S23" s="3">
        <f t="shared" si="58"/>
        <v>8297.2800488236026</v>
      </c>
      <c r="T23" s="3">
        <f t="shared" si="58"/>
        <v>8380.2528493118389</v>
      </c>
      <c r="U23" s="3">
        <f t="shared" si="58"/>
        <v>8464.055377804958</v>
      </c>
      <c r="V23" s="3">
        <f t="shared" si="58"/>
        <v>8548.6959315830081</v>
      </c>
      <c r="W23" s="3">
        <f t="shared" si="58"/>
        <v>8634.1828908988391</v>
      </c>
      <c r="X23" s="3">
        <f t="shared" si="58"/>
        <v>8720.5247198078268</v>
      </c>
      <c r="Y23" s="3">
        <f t="shared" si="58"/>
        <v>8807.7299670059056</v>
      </c>
      <c r="Z23" s="3">
        <f t="shared" si="58"/>
        <v>8895.8072666759654</v>
      </c>
      <c r="AA23" s="3">
        <f t="shared" si="58"/>
        <v>8984.7653393427245</v>
      </c>
      <c r="AB23" s="3">
        <f t="shared" si="58"/>
        <v>9074.6129927361526</v>
      </c>
      <c r="AC23" s="3">
        <f t="shared" si="58"/>
        <v>9165.3591226635144</v>
      </c>
      <c r="AD23" s="3">
        <f t="shared" si="58"/>
        <v>9257.0127138901498</v>
      </c>
      <c r="AE23" s="3">
        <f t="shared" si="58"/>
        <v>9349.5828410290505</v>
      </c>
      <c r="AF23" s="3">
        <f t="shared" si="58"/>
        <v>9443.078669439341</v>
      </c>
      <c r="AG23" s="3">
        <f t="shared" si="58"/>
        <v>9537.5094561337337</v>
      </c>
      <c r="AH23" s="3">
        <f t="shared" si="58"/>
        <v>9632.8845506950711</v>
      </c>
      <c r="AI23" s="3">
        <f t="shared" si="58"/>
        <v>9729.2133962020216</v>
      </c>
      <c r="AJ23" s="3">
        <f t="shared" si="58"/>
        <v>9826.5055301640423</v>
      </c>
      <c r="AK23" s="3">
        <f t="shared" si="58"/>
        <v>9924.7705854656833</v>
      </c>
      <c r="AL23" s="3">
        <f t="shared" si="58"/>
        <v>10024.018291320341</v>
      </c>
      <c r="AM23" s="3">
        <f t="shared" si="58"/>
        <v>10124.258474233544</v>
      </c>
      <c r="AN23" s="3">
        <f t="shared" si="58"/>
        <v>10225.501058975879</v>
      </c>
      <c r="AO23" s="3">
        <f t="shared" si="58"/>
        <v>10327.756069565638</v>
      </c>
      <c r="AP23" s="3">
        <f t="shared" si="58"/>
        <v>10431.033630261294</v>
      </c>
      <c r="AQ23" s="3">
        <f t="shared" si="58"/>
        <v>10535.343966563907</v>
      </c>
      <c r="AR23" s="3">
        <f t="shared" si="58"/>
        <v>10640.697406229547</v>
      </c>
      <c r="AS23" s="3">
        <f t="shared" si="58"/>
        <v>10747.104380291843</v>
      </c>
      <c r="AT23" s="3">
        <f t="shared" si="58"/>
        <v>10854.575424094761</v>
      </c>
      <c r="AU23" s="3">
        <f t="shared" si="58"/>
        <v>10963.121178335708</v>
      </c>
      <c r="AV23" s="3">
        <f t="shared" si="58"/>
        <v>11072.752390119065</v>
      </c>
      <c r="AW23" s="3">
        <f t="shared" si="58"/>
        <v>11183.479914020256</v>
      </c>
      <c r="AX23" s="3">
        <f t="shared" si="58"/>
        <v>11295.314713160458</v>
      </c>
      <c r="AY23" s="3">
        <f t="shared" si="58"/>
        <v>11408.267860292062</v>
      </c>
      <c r="AZ23" s="3">
        <f t="shared" si="58"/>
        <v>11522.350538894983</v>
      </c>
      <c r="BA23" s="3">
        <f t="shared" si="58"/>
        <v>11637.574044283934</v>
      </c>
      <c r="BB23" s="3">
        <f t="shared" si="58"/>
        <v>11753.949784726774</v>
      </c>
      <c r="BC23" s="3">
        <f t="shared" si="58"/>
        <v>11871.489282574043</v>
      </c>
      <c r="BD23" s="3">
        <f t="shared" si="58"/>
        <v>11990.204175399784</v>
      </c>
      <c r="BE23" s="3">
        <f t="shared" si="58"/>
        <v>12110.106217153781</v>
      </c>
      <c r="BF23" s="3">
        <f t="shared" si="58"/>
        <v>12231.207279325319</v>
      </c>
      <c r="BG23" s="3">
        <f t="shared" si="58"/>
        <v>12353.519352118572</v>
      </c>
      <c r="BH23" s="3">
        <f t="shared" si="58"/>
        <v>12477.054545639758</v>
      </c>
      <c r="BI23" s="3">
        <f t="shared" si="58"/>
        <v>12601.825091096156</v>
      </c>
      <c r="BJ23" s="3">
        <f t="shared" si="58"/>
        <v>12727.843342007118</v>
      </c>
      <c r="BK23" s="3">
        <f t="shared" si="58"/>
        <v>12855.121775427189</v>
      </c>
      <c r="BL23" s="3">
        <f t="shared" si="58"/>
        <v>12983.672993181461</v>
      </c>
      <c r="BM23" s="3">
        <f t="shared" si="58"/>
        <v>13113.509723113275</v>
      </c>
      <c r="BN23" s="3">
        <f t="shared" si="58"/>
        <v>13244.644820344407</v>
      </c>
      <c r="BO23" s="3">
        <f t="shared" si="58"/>
        <v>13377.091268547851</v>
      </c>
      <c r="BP23" s="3">
        <f t="shared" si="58"/>
        <v>13510.862181233329</v>
      </c>
      <c r="BQ23" s="3">
        <f t="shared" si="58"/>
        <v>13645.970803045662</v>
      </c>
      <c r="BR23" s="3">
        <f t="shared" si="58"/>
        <v>13782.43051107612</v>
      </c>
      <c r="BS23" s="3">
        <f t="shared" si="58"/>
        <v>13920.254816186882</v>
      </c>
      <c r="BT23" s="3">
        <f t="shared" si="58"/>
        <v>14059.457364348751</v>
      </c>
      <c r="BU23" s="3">
        <f t="shared" si="58"/>
        <v>14200.051937992239</v>
      </c>
      <c r="BV23" s="3">
        <f t="shared" si="58"/>
        <v>14342.052457372161</v>
      </c>
      <c r="BW23" s="3">
        <f t="shared" si="58"/>
        <v>14485.472981945883</v>
      </c>
      <c r="BX23" s="3">
        <f t="shared" si="58"/>
        <v>14630.327711765342</v>
      </c>
      <c r="BY23" s="3">
        <f t="shared" si="58"/>
        <v>14776.630988882995</v>
      </c>
      <c r="BZ23" s="3">
        <f t="shared" si="58"/>
        <v>14924.397298771824</v>
      </c>
      <c r="CA23" s="3">
        <f t="shared" si="58"/>
        <v>15073.641271759543</v>
      </c>
      <c r="CB23" s="3">
        <f t="shared" ref="CB23:CY23" si="59">CA23*(1+$Q$17)</f>
        <v>15224.377684477138</v>
      </c>
      <c r="CC23" s="3">
        <f t="shared" si="59"/>
        <v>15376.621461321909</v>
      </c>
      <c r="CD23" s="3">
        <f t="shared" si="59"/>
        <v>15530.387675935128</v>
      </c>
      <c r="CE23" s="3">
        <f t="shared" si="59"/>
        <v>15685.691552694479</v>
      </c>
      <c r="CF23" s="3">
        <f t="shared" si="59"/>
        <v>15842.548468221425</v>
      </c>
      <c r="CG23" s="3">
        <f t="shared" si="59"/>
        <v>16000.97395290364</v>
      </c>
      <c r="CH23" s="3">
        <f t="shared" si="59"/>
        <v>16160.983692432676</v>
      </c>
      <c r="CI23" s="3">
        <f t="shared" si="59"/>
        <v>16322.593529357002</v>
      </c>
      <c r="CJ23" s="3">
        <f t="shared" si="59"/>
        <v>16485.819464650573</v>
      </c>
      <c r="CK23" s="3">
        <f t="shared" si="59"/>
        <v>16650.677659297078</v>
      </c>
      <c r="CL23" s="3">
        <f t="shared" si="59"/>
        <v>16817.184435890049</v>
      </c>
      <c r="CM23" s="3">
        <f t="shared" si="59"/>
        <v>16985.35628024895</v>
      </c>
      <c r="CN23" s="3">
        <f t="shared" si="59"/>
        <v>17155.209843051442</v>
      </c>
      <c r="CO23" s="3">
        <f t="shared" si="59"/>
        <v>17326.761941481956</v>
      </c>
      <c r="CP23" s="3">
        <f t="shared" si="59"/>
        <v>17500.029560896775</v>
      </c>
      <c r="CQ23" s="3">
        <f t="shared" si="59"/>
        <v>17675.029856505742</v>
      </c>
      <c r="CR23" s="3">
        <f t="shared" si="59"/>
        <v>17851.780155070799</v>
      </c>
      <c r="CS23" s="3">
        <f t="shared" si="59"/>
        <v>18030.297956621507</v>
      </c>
      <c r="CT23" s="3">
        <f t="shared" si="59"/>
        <v>18210.600936187722</v>
      </c>
      <c r="CU23" s="3">
        <f t="shared" si="59"/>
        <v>18392.706945549598</v>
      </c>
      <c r="CV23" s="3">
        <f t="shared" si="59"/>
        <v>18576.634015005093</v>
      </c>
      <c r="CW23" s="3">
        <f t="shared" si="59"/>
        <v>18762.400355155143</v>
      </c>
      <c r="CX23" s="3">
        <f t="shared" si="59"/>
        <v>18950.024358706694</v>
      </c>
      <c r="CY23" s="3">
        <f t="shared" si="59"/>
        <v>19139.524602293761</v>
      </c>
    </row>
    <row r="24" spans="1:103" x14ac:dyDescent="0.2">
      <c r="A24" s="1" t="s">
        <v>2</v>
      </c>
      <c r="B24" s="1">
        <v>1158</v>
      </c>
      <c r="C24" s="1">
        <v>1151</v>
      </c>
      <c r="D24" s="1">
        <v>1137</v>
      </c>
      <c r="E24" s="1">
        <v>1137</v>
      </c>
      <c r="F24" s="1">
        <v>1137</v>
      </c>
      <c r="G24" s="1">
        <v>1137</v>
      </c>
      <c r="H24" s="1">
        <v>1137</v>
      </c>
      <c r="I24" s="1">
        <v>1137</v>
      </c>
      <c r="J24" s="1">
        <v>1137</v>
      </c>
      <c r="K24" s="1">
        <v>1137</v>
      </c>
      <c r="L24" s="1">
        <v>1137</v>
      </c>
      <c r="M24" s="1">
        <v>1137</v>
      </c>
      <c r="N24" s="1">
        <v>1137</v>
      </c>
    </row>
    <row r="25" spans="1:103" x14ac:dyDescent="0.2">
      <c r="A25" s="1" t="s">
        <v>24</v>
      </c>
      <c r="B25" s="6">
        <f>B23/B24</f>
        <v>2.8730569948186528</v>
      </c>
      <c r="C25" s="6">
        <f t="shared" ref="C25:I25" si="60">C23/C24</f>
        <v>3.5238922675933972</v>
      </c>
      <c r="D25" s="6">
        <f t="shared" si="60"/>
        <v>3.3087071240105539</v>
      </c>
      <c r="E25" s="6">
        <f t="shared" si="60"/>
        <v>4.0461308408091456</v>
      </c>
      <c r="F25" s="6">
        <f t="shared" si="60"/>
        <v>4.3569209757956031</v>
      </c>
      <c r="G25" s="6">
        <f t="shared" si="60"/>
        <v>4.6915926535585415</v>
      </c>
      <c r="H25" s="6">
        <f t="shared" si="60"/>
        <v>5.0519569318005431</v>
      </c>
      <c r="I25" s="6">
        <f t="shared" si="60"/>
        <v>5.4399604028495094</v>
      </c>
      <c r="J25" s="6">
        <f t="shared" ref="J25" si="61">J23/J24</f>
        <v>5.64553780074153</v>
      </c>
      <c r="K25" s="6">
        <f t="shared" ref="K25" si="62">K23/K24</f>
        <v>5.963231221516275</v>
      </c>
      <c r="L25" s="6">
        <f t="shared" ref="L25" si="63">L23/L24</f>
        <v>6.2773251218560464</v>
      </c>
      <c r="M25" s="6">
        <f t="shared" ref="M25" si="64">M23/M24</f>
        <v>6.603881100876043</v>
      </c>
      <c r="N25" s="6">
        <f t="shared" ref="N25" si="65">N23/N24</f>
        <v>6.9433397246435433</v>
      </c>
    </row>
    <row r="27" spans="1:103" s="3" customFormat="1" ht="15" x14ac:dyDescent="0.25">
      <c r="A27" s="3" t="s">
        <v>25</v>
      </c>
      <c r="C27" s="7">
        <f>C9/B9-1</f>
        <v>0.11556947502248138</v>
      </c>
      <c r="D27" s="7">
        <f t="shared" ref="D27:I27" si="66">D9/C9-1</f>
        <v>5.5592617300421754E-3</v>
      </c>
      <c r="E27" s="7">
        <f t="shared" si="66"/>
        <v>6.0000000000000053E-2</v>
      </c>
      <c r="F27" s="7">
        <f t="shared" si="66"/>
        <v>6.0000000000000053E-2</v>
      </c>
      <c r="G27" s="7">
        <f t="shared" si="66"/>
        <v>6.0000000000000053E-2</v>
      </c>
      <c r="H27" s="7">
        <f t="shared" si="66"/>
        <v>6.0000000000000053E-2</v>
      </c>
      <c r="I27" s="7">
        <f t="shared" si="66"/>
        <v>6.0000000000000053E-2</v>
      </c>
      <c r="J27" s="7">
        <f t="shared" ref="J27:N27" si="67">J9/I9-1</f>
        <v>2.0000000000000018E-2</v>
      </c>
      <c r="K27" s="7">
        <f t="shared" si="67"/>
        <v>2.0000000000000018E-2</v>
      </c>
      <c r="L27" s="7">
        <f t="shared" si="67"/>
        <v>2.0000000000000018E-2</v>
      </c>
      <c r="M27" s="7">
        <f t="shared" si="67"/>
        <v>2.0000000000000018E-2</v>
      </c>
      <c r="N27" s="7">
        <f t="shared" si="67"/>
        <v>2.0000000000000018E-2</v>
      </c>
    </row>
    <row r="28" spans="1:103" x14ac:dyDescent="0.2">
      <c r="A28" s="1" t="s">
        <v>26</v>
      </c>
      <c r="B28" s="4">
        <f>B22/B21</f>
        <v>0.22193638914873715</v>
      </c>
      <c r="C28" s="4">
        <f t="shared" ref="C28:D28" si="68">C22/C21</f>
        <v>0.2394524657791112</v>
      </c>
      <c r="D28" s="4">
        <f t="shared" si="68"/>
        <v>0.24290601730730529</v>
      </c>
      <c r="E28" s="4">
        <v>0.21</v>
      </c>
      <c r="F28" s="4">
        <v>0.21</v>
      </c>
      <c r="G28" s="4">
        <v>0.21</v>
      </c>
      <c r="H28" s="4">
        <v>0.21</v>
      </c>
      <c r="I28" s="4">
        <v>0.21</v>
      </c>
      <c r="J28" s="4">
        <v>0.21</v>
      </c>
      <c r="K28" s="4">
        <v>0.21</v>
      </c>
      <c r="L28" s="4">
        <v>0.21</v>
      </c>
      <c r="M28" s="4">
        <v>0.21</v>
      </c>
      <c r="N28" s="4">
        <v>0.21</v>
      </c>
    </row>
    <row r="30" spans="1:103" s="3" customFormat="1" ht="15" x14ac:dyDescent="0.25">
      <c r="A30" s="3" t="s">
        <v>27</v>
      </c>
      <c r="B30" s="7">
        <f>B13/B9</f>
        <v>0.2595429315637694</v>
      </c>
      <c r="C30" s="7">
        <f t="shared" ref="C30:D30" si="69">C13/C9</f>
        <v>0.27371025127863019</v>
      </c>
      <c r="D30" s="7">
        <f t="shared" si="69"/>
        <v>0.26838235294117646</v>
      </c>
      <c r="E30" s="7">
        <f>D30*1.01</f>
        <v>0.27106617647058823</v>
      </c>
      <c r="F30" s="7">
        <f t="shared" ref="F30:N30" si="70">E30*1.01</f>
        <v>0.27377683823529408</v>
      </c>
      <c r="G30" s="7">
        <f t="shared" si="70"/>
        <v>0.27651460661764704</v>
      </c>
      <c r="H30" s="7">
        <f t="shared" si="70"/>
        <v>0.27927975268382349</v>
      </c>
      <c r="I30" s="7">
        <f t="shared" si="70"/>
        <v>0.28207255021066174</v>
      </c>
      <c r="J30" s="7">
        <f t="shared" si="70"/>
        <v>0.28489327571276835</v>
      </c>
      <c r="K30" s="7">
        <f t="shared" si="70"/>
        <v>0.28774220846989601</v>
      </c>
      <c r="L30" s="7">
        <f t="shared" si="70"/>
        <v>0.290619630554595</v>
      </c>
      <c r="M30" s="7">
        <f t="shared" si="70"/>
        <v>0.29352582686014095</v>
      </c>
      <c r="N30" s="7">
        <f t="shared" si="70"/>
        <v>0.29646108512874236</v>
      </c>
    </row>
    <row r="31" spans="1:103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03" x14ac:dyDescent="0.2">
      <c r="A32" s="1" t="s">
        <v>28</v>
      </c>
      <c r="B32" s="1">
        <v>4397</v>
      </c>
      <c r="C32" s="1">
        <v>6009</v>
      </c>
      <c r="D32" s="1">
        <v>6096</v>
      </c>
      <c r="E32" s="1">
        <f>D32*(1+E27*2)</f>
        <v>6827.52</v>
      </c>
      <c r="F32" s="1">
        <f t="shared" ref="F32:N32" si="71">E32*(1+F27*2)</f>
        <v>7646.8224000000009</v>
      </c>
      <c r="G32" s="1">
        <f t="shared" si="71"/>
        <v>8564.4410880000014</v>
      </c>
      <c r="H32" s="1">
        <f t="shared" si="71"/>
        <v>9592.1740185600029</v>
      </c>
      <c r="I32" s="1">
        <f t="shared" si="71"/>
        <v>10743.234900787204</v>
      </c>
      <c r="J32" s="1">
        <f t="shared" si="71"/>
        <v>11172.964296818693</v>
      </c>
      <c r="K32" s="1">
        <f t="shared" si="71"/>
        <v>11619.88286869144</v>
      </c>
      <c r="L32" s="1">
        <f t="shared" si="71"/>
        <v>12084.678183439099</v>
      </c>
      <c r="M32" s="1">
        <f t="shared" si="71"/>
        <v>12568.065310776663</v>
      </c>
      <c r="N32" s="1">
        <f t="shared" si="71"/>
        <v>13070.78792320773</v>
      </c>
    </row>
    <row r="33" spans="1:107" x14ac:dyDescent="0.2">
      <c r="A33" s="1" t="s">
        <v>29</v>
      </c>
      <c r="B33" s="1">
        <v>1841</v>
      </c>
      <c r="C33" s="1">
        <v>2334</v>
      </c>
      <c r="D33" s="1">
        <v>2778</v>
      </c>
      <c r="E33" s="1">
        <f>D33*(1+E27)</f>
        <v>2944.6800000000003</v>
      </c>
      <c r="F33" s="1">
        <f t="shared" ref="F33:N33" si="72">E33*(1+F27)</f>
        <v>3121.3608000000004</v>
      </c>
      <c r="G33" s="1">
        <f t="shared" si="72"/>
        <v>3308.6424480000005</v>
      </c>
      <c r="H33" s="1">
        <f t="shared" si="72"/>
        <v>3507.1609948800005</v>
      </c>
      <c r="I33" s="1">
        <f t="shared" si="72"/>
        <v>3717.5906545728008</v>
      </c>
      <c r="J33" s="1">
        <f t="shared" si="72"/>
        <v>3791.942467664257</v>
      </c>
      <c r="K33" s="1">
        <f t="shared" si="72"/>
        <v>3867.7813170175423</v>
      </c>
      <c r="L33" s="1">
        <f t="shared" si="72"/>
        <v>3945.1369433578934</v>
      </c>
      <c r="M33" s="1">
        <f t="shared" si="72"/>
        <v>4024.0396822250514</v>
      </c>
      <c r="N33" s="1">
        <f t="shared" si="72"/>
        <v>4104.5204758695527</v>
      </c>
    </row>
    <row r="34" spans="1:107" s="3" customFormat="1" ht="15" x14ac:dyDescent="0.25">
      <c r="A34" s="3" t="s">
        <v>30</v>
      </c>
      <c r="B34" s="3">
        <f>B32-B33</f>
        <v>2556</v>
      </c>
      <c r="C34" s="3">
        <f t="shared" ref="C34:D34" si="73">C32-C33</f>
        <v>3675</v>
      </c>
      <c r="D34" s="3">
        <f t="shared" si="73"/>
        <v>3318</v>
      </c>
      <c r="E34" s="3">
        <f t="shared" ref="E34" si="74">E32-E33</f>
        <v>3882.84</v>
      </c>
      <c r="F34" s="3">
        <f t="shared" ref="F34" si="75">F32-F33</f>
        <v>4525.4616000000005</v>
      </c>
      <c r="G34" s="3">
        <f t="shared" ref="G34" si="76">G32-G33</f>
        <v>5255.7986400000009</v>
      </c>
      <c r="H34" s="3">
        <f t="shared" ref="H34" si="77">H32-H33</f>
        <v>6085.0130236800023</v>
      </c>
      <c r="I34" s="3">
        <f t="shared" ref="I34" si="78">I32-I33</f>
        <v>7025.6442462144023</v>
      </c>
      <c r="J34" s="3">
        <f t="shared" ref="J34" si="79">J32-J33</f>
        <v>7381.0218291544352</v>
      </c>
      <c r="K34" s="3">
        <f t="shared" ref="K34" si="80">K32-K33</f>
        <v>7752.101551673898</v>
      </c>
      <c r="L34" s="3">
        <f t="shared" ref="L34" si="81">L32-L33</f>
        <v>8139.5412400812056</v>
      </c>
      <c r="M34" s="3">
        <f t="shared" ref="M34" si="82">M32-M33</f>
        <v>8544.0256285516116</v>
      </c>
      <c r="N34" s="3">
        <f t="shared" ref="N34" si="83">N32-N33</f>
        <v>8966.2674473381776</v>
      </c>
      <c r="O34" s="3">
        <f>N34*(1+$Q$17)</f>
        <v>9055.9301218115597</v>
      </c>
      <c r="P34" s="3">
        <f t="shared" ref="P34:CA34" si="84">O34*(1+$Q$17)</f>
        <v>9146.4894230296759</v>
      </c>
      <c r="Q34" s="3">
        <f t="shared" si="84"/>
        <v>9237.9543172599733</v>
      </c>
      <c r="R34" s="3">
        <f t="shared" si="84"/>
        <v>9330.3338604325727</v>
      </c>
      <c r="S34" s="3">
        <f t="shared" si="84"/>
        <v>9423.6371990368989</v>
      </c>
      <c r="T34" s="3">
        <f t="shared" si="84"/>
        <v>9517.8735710272686</v>
      </c>
      <c r="U34" s="3">
        <f t="shared" si="84"/>
        <v>9613.0523067375416</v>
      </c>
      <c r="V34" s="3">
        <f t="shared" si="84"/>
        <v>9709.1828298049168</v>
      </c>
      <c r="W34" s="3">
        <f t="shared" si="84"/>
        <v>9806.274658102966</v>
      </c>
      <c r="X34" s="3">
        <f t="shared" si="84"/>
        <v>9904.3374046839963</v>
      </c>
      <c r="Y34" s="3">
        <f t="shared" si="84"/>
        <v>10003.380778730836</v>
      </c>
      <c r="Z34" s="3">
        <f t="shared" si="84"/>
        <v>10103.414586518145</v>
      </c>
      <c r="AA34" s="3">
        <f t="shared" si="84"/>
        <v>10204.448732383327</v>
      </c>
      <c r="AB34" s="3">
        <f t="shared" si="84"/>
        <v>10306.493219707161</v>
      </c>
      <c r="AC34" s="3">
        <f t="shared" si="84"/>
        <v>10409.558151904233</v>
      </c>
      <c r="AD34" s="3">
        <f t="shared" si="84"/>
        <v>10513.653733423276</v>
      </c>
      <c r="AE34" s="3">
        <f t="shared" si="84"/>
        <v>10618.790270757509</v>
      </c>
      <c r="AF34" s="3">
        <f t="shared" si="84"/>
        <v>10724.978173465084</v>
      </c>
      <c r="AG34" s="3">
        <f t="shared" si="84"/>
        <v>10832.227955199734</v>
      </c>
      <c r="AH34" s="3">
        <f t="shared" si="84"/>
        <v>10940.550234751732</v>
      </c>
      <c r="AI34" s="3">
        <f t="shared" si="84"/>
        <v>11049.95573709925</v>
      </c>
      <c r="AJ34" s="3">
        <f t="shared" si="84"/>
        <v>11160.455294470243</v>
      </c>
      <c r="AK34" s="3">
        <f t="shared" si="84"/>
        <v>11272.059847414945</v>
      </c>
      <c r="AL34" s="3">
        <f t="shared" si="84"/>
        <v>11384.780445889095</v>
      </c>
      <c r="AM34" s="3">
        <f t="shared" si="84"/>
        <v>11498.628250347987</v>
      </c>
      <c r="AN34" s="3">
        <f t="shared" si="84"/>
        <v>11613.614532851467</v>
      </c>
      <c r="AO34" s="3">
        <f t="shared" si="84"/>
        <v>11729.750678179982</v>
      </c>
      <c r="AP34" s="3">
        <f t="shared" si="84"/>
        <v>11847.048184961783</v>
      </c>
      <c r="AQ34" s="3">
        <f t="shared" si="84"/>
        <v>11965.5186668114</v>
      </c>
      <c r="AR34" s="3">
        <f t="shared" si="84"/>
        <v>12085.173853479515</v>
      </c>
      <c r="AS34" s="3">
        <f t="shared" si="84"/>
        <v>12206.02559201431</v>
      </c>
      <c r="AT34" s="3">
        <f t="shared" si="84"/>
        <v>12328.085847934453</v>
      </c>
      <c r="AU34" s="3">
        <f t="shared" si="84"/>
        <v>12451.366706413797</v>
      </c>
      <c r="AV34" s="3">
        <f t="shared" si="84"/>
        <v>12575.880373477936</v>
      </c>
      <c r="AW34" s="3">
        <f t="shared" si="84"/>
        <v>12701.639177212715</v>
      </c>
      <c r="AX34" s="3">
        <f t="shared" si="84"/>
        <v>12828.655568984843</v>
      </c>
      <c r="AY34" s="3">
        <f t="shared" si="84"/>
        <v>12956.942124674692</v>
      </c>
      <c r="AZ34" s="3">
        <f t="shared" si="84"/>
        <v>13086.511545921439</v>
      </c>
      <c r="BA34" s="3">
        <f t="shared" si="84"/>
        <v>13217.376661380655</v>
      </c>
      <c r="BB34" s="3">
        <f t="shared" si="84"/>
        <v>13349.550427994462</v>
      </c>
      <c r="BC34" s="3">
        <f t="shared" si="84"/>
        <v>13483.045932274406</v>
      </c>
      <c r="BD34" s="3">
        <f t="shared" si="84"/>
        <v>13617.87639159715</v>
      </c>
      <c r="BE34" s="3">
        <f t="shared" si="84"/>
        <v>13754.055155513122</v>
      </c>
      <c r="BF34" s="3">
        <f t="shared" si="84"/>
        <v>13891.595707068254</v>
      </c>
      <c r="BG34" s="3">
        <f t="shared" si="84"/>
        <v>14030.511664138938</v>
      </c>
      <c r="BH34" s="3">
        <f t="shared" si="84"/>
        <v>14170.816780780327</v>
      </c>
      <c r="BI34" s="3">
        <f t="shared" si="84"/>
        <v>14312.52494858813</v>
      </c>
      <c r="BJ34" s="3">
        <f t="shared" si="84"/>
        <v>14455.650198074012</v>
      </c>
      <c r="BK34" s="3">
        <f t="shared" si="84"/>
        <v>14600.206700054752</v>
      </c>
      <c r="BL34" s="3">
        <f t="shared" si="84"/>
        <v>14746.208767055299</v>
      </c>
      <c r="BM34" s="3">
        <f t="shared" si="84"/>
        <v>14893.670854725853</v>
      </c>
      <c r="BN34" s="3">
        <f t="shared" si="84"/>
        <v>15042.607563273112</v>
      </c>
      <c r="BO34" s="3">
        <f t="shared" si="84"/>
        <v>15193.033638905843</v>
      </c>
      <c r="BP34" s="3">
        <f t="shared" si="84"/>
        <v>15344.963975294902</v>
      </c>
      <c r="BQ34" s="3">
        <f t="shared" si="84"/>
        <v>15498.413615047852</v>
      </c>
      <c r="BR34" s="3">
        <f t="shared" si="84"/>
        <v>15653.39775119833</v>
      </c>
      <c r="BS34" s="3">
        <f t="shared" si="84"/>
        <v>15809.931728710313</v>
      </c>
      <c r="BT34" s="3">
        <f t="shared" si="84"/>
        <v>15968.031045997417</v>
      </c>
      <c r="BU34" s="3">
        <f t="shared" si="84"/>
        <v>16127.711356457392</v>
      </c>
      <c r="BV34" s="3">
        <f t="shared" si="84"/>
        <v>16288.988470021966</v>
      </c>
      <c r="BW34" s="3">
        <f t="shared" si="84"/>
        <v>16451.878354722186</v>
      </c>
      <c r="BX34" s="3">
        <f t="shared" si="84"/>
        <v>16616.397138269407</v>
      </c>
      <c r="BY34" s="3">
        <f t="shared" si="84"/>
        <v>16782.561109652102</v>
      </c>
      <c r="BZ34" s="3">
        <f t="shared" si="84"/>
        <v>16950.386720748622</v>
      </c>
      <c r="CA34" s="3">
        <f t="shared" si="84"/>
        <v>17119.89058795611</v>
      </c>
      <c r="CB34" s="3">
        <f t="shared" ref="CB34:DC34" si="85">CA34*(1+$Q$17)</f>
        <v>17291.089493835672</v>
      </c>
      <c r="CC34" s="3">
        <f t="shared" si="85"/>
        <v>17464.000388774028</v>
      </c>
      <c r="CD34" s="3">
        <f t="shared" si="85"/>
        <v>17638.640392661768</v>
      </c>
      <c r="CE34" s="3">
        <f t="shared" si="85"/>
        <v>17815.026796588387</v>
      </c>
      <c r="CF34" s="3">
        <f t="shared" si="85"/>
        <v>17993.177064554271</v>
      </c>
      <c r="CG34" s="3">
        <f t="shared" si="85"/>
        <v>18173.108835199815</v>
      </c>
      <c r="CH34" s="3">
        <f t="shared" si="85"/>
        <v>18354.839923551812</v>
      </c>
      <c r="CI34" s="3">
        <f t="shared" si="85"/>
        <v>18538.38832278733</v>
      </c>
      <c r="CJ34" s="3">
        <f t="shared" si="85"/>
        <v>18723.772206015205</v>
      </c>
      <c r="CK34" s="3">
        <f t="shared" si="85"/>
        <v>18911.009928075357</v>
      </c>
      <c r="CL34" s="3">
        <f t="shared" si="85"/>
        <v>19100.120027356112</v>
      </c>
      <c r="CM34" s="3">
        <f t="shared" si="85"/>
        <v>19291.121227629672</v>
      </c>
      <c r="CN34" s="3">
        <f t="shared" si="85"/>
        <v>19484.032439905968</v>
      </c>
      <c r="CO34" s="3">
        <f t="shared" si="85"/>
        <v>19678.87276430503</v>
      </c>
      <c r="CP34" s="3">
        <f t="shared" si="85"/>
        <v>19875.661491948082</v>
      </c>
      <c r="CQ34" s="3">
        <f t="shared" si="85"/>
        <v>20074.418106867564</v>
      </c>
      <c r="CR34" s="3">
        <f t="shared" si="85"/>
        <v>20275.16228793624</v>
      </c>
      <c r="CS34" s="3">
        <f t="shared" si="85"/>
        <v>20477.913910815601</v>
      </c>
      <c r="CT34" s="3">
        <f t="shared" si="85"/>
        <v>20682.693049923757</v>
      </c>
      <c r="CU34" s="3">
        <f t="shared" si="85"/>
        <v>20889.519980422996</v>
      </c>
      <c r="CV34" s="3">
        <f t="shared" si="85"/>
        <v>21098.415180227224</v>
      </c>
      <c r="CW34" s="3">
        <f t="shared" si="85"/>
        <v>21309.399332029498</v>
      </c>
      <c r="CX34" s="3">
        <f t="shared" si="85"/>
        <v>21522.493325349791</v>
      </c>
      <c r="CY34" s="3">
        <f t="shared" si="85"/>
        <v>21737.71825860329</v>
      </c>
      <c r="CZ34" s="3">
        <f t="shared" si="85"/>
        <v>21955.095441189325</v>
      </c>
      <c r="DA34" s="3">
        <f t="shared" si="85"/>
        <v>22174.646395601219</v>
      </c>
      <c r="DB34" s="3">
        <f t="shared" si="85"/>
        <v>22396.392859557232</v>
      </c>
      <c r="DC34" s="3">
        <f t="shared" si="85"/>
        <v>22620.356788152803</v>
      </c>
    </row>
    <row r="36" spans="1:107" x14ac:dyDescent="0.2">
      <c r="A36" s="1" t="s">
        <v>31</v>
      </c>
      <c r="D36" s="1">
        <f>D38-D40</f>
        <v>-25675</v>
      </c>
      <c r="E36" s="1">
        <f>D36+E23</f>
        <v>-21074.549234000002</v>
      </c>
      <c r="F36" s="1">
        <f t="shared" ref="F36:I36" si="86">E36+F23</f>
        <v>-16120.730084520401</v>
      </c>
      <c r="G36" s="1">
        <f t="shared" si="86"/>
        <v>-10786.389237424341</v>
      </c>
      <c r="H36" s="1">
        <f t="shared" si="86"/>
        <v>-5042.3142059671227</v>
      </c>
      <c r="I36" s="1">
        <f t="shared" si="86"/>
        <v>1142.92077207277</v>
      </c>
      <c r="J36" s="1">
        <f t="shared" ref="J36:N36" si="87">I36+J23</f>
        <v>7561.8972515158894</v>
      </c>
      <c r="K36" s="1">
        <f t="shared" si="87"/>
        <v>14342.091150379894</v>
      </c>
      <c r="L36" s="1">
        <f t="shared" si="87"/>
        <v>21479.409813930219</v>
      </c>
      <c r="M36" s="1">
        <f t="shared" si="87"/>
        <v>28988.022625626279</v>
      </c>
      <c r="N36" s="1">
        <f t="shared" si="87"/>
        <v>36882.599892545986</v>
      </c>
    </row>
    <row r="38" spans="1:107" x14ac:dyDescent="0.2">
      <c r="A38" s="1" t="s">
        <v>4</v>
      </c>
      <c r="D38" s="8">
        <f>3671+286</f>
        <v>3957</v>
      </c>
    </row>
    <row r="40" spans="1:107" x14ac:dyDescent="0.2">
      <c r="A40" s="1" t="s">
        <v>5</v>
      </c>
      <c r="D40" s="8">
        <f>14312+5941+8857+522</f>
        <v>29632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2025-04-17T21:42:10Z</dcterms:created>
  <dcterms:modified xsi:type="dcterms:W3CDTF">2025-06-17T23:47:49Z</dcterms:modified>
</cp:coreProperties>
</file>