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75F81987-944E-4138-9AD3-EA934825F91F}" xr6:coauthVersionLast="47" xr6:coauthVersionMax="47" xr10:uidLastSave="{00000000-0000-0000-0000-000000000000}"/>
  <bookViews>
    <workbookView xWindow="1320" yWindow="885" windowWidth="21945" windowHeight="13935" activeTab="1" xr2:uid="{2D7630E8-571A-4F85-BA77-29E9E73C39F7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3" i="2" l="1"/>
  <c r="Q23" i="2"/>
  <c r="R23" i="2"/>
  <c r="S23" i="2" s="1"/>
  <c r="O23" i="2"/>
  <c r="O21" i="2"/>
  <c r="P21" i="2" s="1"/>
  <c r="Q21" i="2" s="1"/>
  <c r="R21" i="2" s="1"/>
  <c r="S21" i="2" s="1"/>
  <c r="P2" i="2"/>
  <c r="Q2" i="2" s="1"/>
  <c r="R2" i="2" s="1"/>
  <c r="S2" i="2" s="1"/>
  <c r="M28" i="2"/>
  <c r="M23" i="2" s="1"/>
  <c r="N28" i="2"/>
  <c r="N23" i="2" s="1"/>
  <c r="L28" i="2"/>
  <c r="L23" i="2" s="1"/>
  <c r="G32" i="2"/>
  <c r="G30" i="2" s="1"/>
  <c r="H30" i="2" s="1"/>
  <c r="I30" i="2" s="1"/>
  <c r="J30" i="2" s="1"/>
  <c r="N30" i="2" s="1"/>
  <c r="O10" i="2" s="1"/>
  <c r="M8" i="2"/>
  <c r="M24" i="2" s="1"/>
  <c r="N8" i="2"/>
  <c r="N24" i="2" s="1"/>
  <c r="O24" i="2" s="1"/>
  <c r="L8" i="2"/>
  <c r="L24" i="2" s="1"/>
  <c r="M4" i="2"/>
  <c r="M21" i="2" s="1"/>
  <c r="N4" i="2"/>
  <c r="N21" i="2" s="1"/>
  <c r="L4" i="2"/>
  <c r="L21" i="2" s="1"/>
  <c r="O2" i="2"/>
  <c r="N18" i="2"/>
  <c r="N19" i="2" s="1"/>
  <c r="M18" i="2"/>
  <c r="D5" i="1"/>
  <c r="M1" i="2"/>
  <c r="N1" i="2" s="1"/>
  <c r="O1" i="2" s="1"/>
  <c r="P1" i="2" s="1"/>
  <c r="Q1" i="2" s="1"/>
  <c r="R1" i="2" s="1"/>
  <c r="S1" i="2" s="1"/>
  <c r="D4" i="1"/>
  <c r="D7" i="1" s="1"/>
  <c r="L9" i="2" l="1"/>
  <c r="L12" i="2" s="1"/>
  <c r="P24" i="2"/>
  <c r="O8" i="2"/>
  <c r="O28" i="2"/>
  <c r="M9" i="2"/>
  <c r="N9" i="2"/>
  <c r="O3" i="2"/>
  <c r="O4" i="2" s="1"/>
  <c r="O9" i="2" s="1"/>
  <c r="P3" i="2"/>
  <c r="P4" i="2" s="1"/>
  <c r="Q3" i="2"/>
  <c r="P18" i="2"/>
  <c r="O18" i="2"/>
  <c r="O19" i="2" s="1"/>
  <c r="L22" i="2" l="1"/>
  <c r="P19" i="2"/>
  <c r="P28" i="2"/>
  <c r="Q24" i="2"/>
  <c r="P8" i="2"/>
  <c r="P9" i="2" s="1"/>
  <c r="P22" i="2" s="1"/>
  <c r="L14" i="2"/>
  <c r="L15" i="2" s="1"/>
  <c r="N22" i="2"/>
  <c r="N12" i="2"/>
  <c r="M22" i="2"/>
  <c r="M12" i="2"/>
  <c r="Q28" i="2"/>
  <c r="O12" i="2"/>
  <c r="O13" i="2" s="1"/>
  <c r="O22" i="2"/>
  <c r="Q18" i="2"/>
  <c r="Q19" i="2" s="1"/>
  <c r="Q4" i="2"/>
  <c r="N14" i="2" l="1"/>
  <c r="N15" i="2" s="1"/>
  <c r="R3" i="2"/>
  <c r="M14" i="2"/>
  <c r="M15" i="2" s="1"/>
  <c r="R24" i="2"/>
  <c r="S24" i="2" s="1"/>
  <c r="Q8" i="2"/>
  <c r="Q9" i="2" s="1"/>
  <c r="Q22" i="2" s="1"/>
  <c r="R28" i="2"/>
  <c r="O14" i="2"/>
  <c r="R4" i="2"/>
  <c r="R18" i="2"/>
  <c r="R19" i="2" s="1"/>
  <c r="S3" i="2" l="1"/>
  <c r="S28" i="2"/>
  <c r="T28" i="2" s="1"/>
  <c r="S8" i="2"/>
  <c r="R8" i="2"/>
  <c r="R9" i="2" s="1"/>
  <c r="R22" i="2" s="1"/>
  <c r="O30" i="2"/>
  <c r="P10" i="2" s="1"/>
  <c r="P12" i="2" s="1"/>
  <c r="O15" i="2"/>
  <c r="S18" i="2"/>
  <c r="S19" i="2" s="1"/>
  <c r="S4" i="2"/>
  <c r="S9" i="2" s="1"/>
  <c r="P13" i="2" l="1"/>
  <c r="P14" i="2" s="1"/>
  <c r="U28" i="2"/>
  <c r="V28" i="2" s="1"/>
  <c r="W28" i="2" s="1"/>
  <c r="X28" i="2" s="1"/>
  <c r="Y28" i="2" s="1"/>
  <c r="Z28" i="2" s="1"/>
  <c r="AA28" i="2" s="1"/>
  <c r="AB28" i="2" s="1"/>
  <c r="AC28" i="2" s="1"/>
  <c r="AD28" i="2" s="1"/>
  <c r="AE28" i="2" s="1"/>
  <c r="AF28" i="2" s="1"/>
  <c r="AG28" i="2" s="1"/>
  <c r="AH28" i="2" s="1"/>
  <c r="AI28" i="2" s="1"/>
  <c r="AJ28" i="2" s="1"/>
  <c r="AK28" i="2" s="1"/>
  <c r="AL28" i="2" s="1"/>
  <c r="AM28" i="2" s="1"/>
  <c r="AN28" i="2" s="1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  <c r="AY28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BJ28" i="2" s="1"/>
  <c r="BK28" i="2" s="1"/>
  <c r="BL28" i="2" s="1"/>
  <c r="BM28" i="2" s="1"/>
  <c r="BN28" i="2" s="1"/>
  <c r="BO28" i="2" s="1"/>
  <c r="BP28" i="2" s="1"/>
  <c r="BQ28" i="2" s="1"/>
  <c r="BR28" i="2" s="1"/>
  <c r="BS28" i="2" s="1"/>
  <c r="BT28" i="2" s="1"/>
  <c r="BU28" i="2" s="1"/>
  <c r="BV28" i="2" s="1"/>
  <c r="BW28" i="2" s="1"/>
  <c r="BX28" i="2" s="1"/>
  <c r="BY28" i="2" s="1"/>
  <c r="BZ28" i="2" s="1"/>
  <c r="CA28" i="2" s="1"/>
  <c r="CB28" i="2" s="1"/>
  <c r="CC28" i="2" s="1"/>
  <c r="CD28" i="2" s="1"/>
  <c r="CE28" i="2" s="1"/>
  <c r="CF28" i="2" s="1"/>
  <c r="CG28" i="2" s="1"/>
  <c r="CH28" i="2" s="1"/>
  <c r="CI28" i="2" s="1"/>
  <c r="CJ28" i="2" s="1"/>
  <c r="CK28" i="2" s="1"/>
  <c r="CL28" i="2" s="1"/>
  <c r="CM28" i="2" s="1"/>
  <c r="CN28" i="2" s="1"/>
  <c r="CO28" i="2" s="1"/>
  <c r="CP28" i="2" s="1"/>
  <c r="CQ28" i="2" s="1"/>
  <c r="CR28" i="2" s="1"/>
  <c r="CS28" i="2" s="1"/>
  <c r="CT28" i="2" s="1"/>
  <c r="CU28" i="2" s="1"/>
  <c r="CV28" i="2" s="1"/>
  <c r="CW28" i="2" s="1"/>
  <c r="CX28" i="2" s="1"/>
  <c r="CY28" i="2" s="1"/>
  <c r="CZ28" i="2" s="1"/>
  <c r="DA28" i="2" s="1"/>
  <c r="DB28" i="2" s="1"/>
  <c r="DC28" i="2" s="1"/>
  <c r="DD28" i="2" s="1"/>
  <c r="DE28" i="2" s="1"/>
  <c r="DF28" i="2" s="1"/>
  <c r="DG28" i="2" s="1"/>
  <c r="DH28" i="2" s="1"/>
  <c r="DI28" i="2" s="1"/>
  <c r="DJ28" i="2" s="1"/>
  <c r="DK28" i="2" s="1"/>
  <c r="DL28" i="2" s="1"/>
  <c r="DM28" i="2" s="1"/>
  <c r="DN28" i="2" s="1"/>
  <c r="DO28" i="2" s="1"/>
  <c r="DP28" i="2" s="1"/>
  <c r="DQ28" i="2" s="1"/>
  <c r="DR28" i="2" s="1"/>
  <c r="DS28" i="2" s="1"/>
  <c r="DT28" i="2" s="1"/>
  <c r="DU28" i="2" s="1"/>
  <c r="V20" i="2" s="1"/>
  <c r="S22" i="2"/>
  <c r="P30" i="2" l="1"/>
  <c r="Q10" i="2" s="1"/>
  <c r="Q12" i="2" s="1"/>
  <c r="Q13" i="2" s="1"/>
  <c r="Q14" i="2" s="1"/>
  <c r="P15" i="2"/>
  <c r="Q30" i="2" l="1"/>
  <c r="R10" i="2" s="1"/>
  <c r="R12" i="2" s="1"/>
  <c r="Q15" i="2"/>
  <c r="R13" i="2" l="1"/>
  <c r="R14" i="2" s="1"/>
  <c r="R30" i="2" l="1"/>
  <c r="R15" i="2"/>
  <c r="S10" i="2" l="1"/>
  <c r="S12" i="2" s="1"/>
  <c r="S13" i="2" l="1"/>
  <c r="S14" i="2" s="1"/>
  <c r="S15" i="2" l="1"/>
  <c r="T14" i="2"/>
  <c r="U14" i="2" s="1"/>
  <c r="V14" i="2" s="1"/>
  <c r="W14" i="2" s="1"/>
  <c r="X14" i="2" s="1"/>
  <c r="Y14" i="2" s="1"/>
  <c r="Z14" i="2" s="1"/>
  <c r="AA14" i="2" s="1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BJ14" i="2" s="1"/>
  <c r="BK14" i="2" s="1"/>
  <c r="BL14" i="2" s="1"/>
  <c r="BM14" i="2" s="1"/>
  <c r="BN14" i="2" s="1"/>
  <c r="BO14" i="2" s="1"/>
  <c r="BP14" i="2" s="1"/>
  <c r="BQ14" i="2" s="1"/>
  <c r="BR14" i="2" s="1"/>
  <c r="BS14" i="2" s="1"/>
  <c r="BT14" i="2" s="1"/>
  <c r="BU14" i="2" s="1"/>
  <c r="BV14" i="2" s="1"/>
  <c r="BW14" i="2" s="1"/>
  <c r="BX14" i="2" s="1"/>
  <c r="BY14" i="2" s="1"/>
  <c r="BZ14" i="2" s="1"/>
  <c r="CA14" i="2" s="1"/>
  <c r="CB14" i="2" s="1"/>
  <c r="CC14" i="2" s="1"/>
  <c r="CD14" i="2" s="1"/>
  <c r="CE14" i="2" s="1"/>
  <c r="CF14" i="2" s="1"/>
  <c r="CG14" i="2" s="1"/>
  <c r="CH14" i="2" s="1"/>
  <c r="CI14" i="2" s="1"/>
  <c r="CJ14" i="2" s="1"/>
  <c r="CK14" i="2" s="1"/>
  <c r="CL14" i="2" s="1"/>
  <c r="CM14" i="2" s="1"/>
  <c r="CN14" i="2" s="1"/>
  <c r="CO14" i="2" s="1"/>
  <c r="CP14" i="2" s="1"/>
  <c r="CQ14" i="2" s="1"/>
  <c r="CR14" i="2" s="1"/>
  <c r="CS14" i="2" s="1"/>
  <c r="CT14" i="2" s="1"/>
  <c r="CU14" i="2" s="1"/>
  <c r="CV14" i="2" s="1"/>
  <c r="CW14" i="2" s="1"/>
  <c r="CX14" i="2" s="1"/>
  <c r="CY14" i="2" s="1"/>
  <c r="CZ14" i="2" s="1"/>
  <c r="DA14" i="2" s="1"/>
  <c r="DB14" i="2" s="1"/>
  <c r="DC14" i="2" s="1"/>
  <c r="DD14" i="2" s="1"/>
  <c r="DE14" i="2" s="1"/>
  <c r="DF14" i="2" s="1"/>
  <c r="DG14" i="2" s="1"/>
  <c r="DH14" i="2" s="1"/>
  <c r="DI14" i="2" s="1"/>
  <c r="DJ14" i="2" s="1"/>
  <c r="DK14" i="2" s="1"/>
  <c r="DL14" i="2" s="1"/>
  <c r="DM14" i="2" s="1"/>
  <c r="V21" i="2" s="1"/>
  <c r="V22" i="2" s="1"/>
  <c r="S30" i="2"/>
</calcChain>
</file>

<file path=xl/sharedStrings.xml><?xml version="1.0" encoding="utf-8"?>
<sst xmlns="http://schemas.openxmlformats.org/spreadsheetml/2006/main" count="51" uniqueCount="44">
  <si>
    <t>SPOT</t>
  </si>
  <si>
    <t>Price</t>
  </si>
  <si>
    <t>Shares</t>
  </si>
  <si>
    <t>MC</t>
  </si>
  <si>
    <t>Cash</t>
  </si>
  <si>
    <t>Debt</t>
  </si>
  <si>
    <t>EV</t>
  </si>
  <si>
    <t>Main</t>
  </si>
  <si>
    <t>Q125</t>
  </si>
  <si>
    <t>Q225</t>
  </si>
  <si>
    <t>Q325</t>
  </si>
  <si>
    <t>Q425</t>
  </si>
  <si>
    <t>Q124</t>
  </si>
  <si>
    <t>Q224</t>
  </si>
  <si>
    <t>Q324</t>
  </si>
  <si>
    <t>Q424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</si>
  <si>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</si>
  <si>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</si>
  <si>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</si>
  <si>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</si>
  <si>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</si>
  <si>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</si>
  <si>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</si>
  <si>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</si>
  <si>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</si>
  <si>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Interest Expense</t>
  </si>
  <si>
    <t>Pretax Income</t>
  </si>
  <si>
    <t>Tax</t>
  </si>
  <si>
    <t>Net Income</t>
  </si>
  <si>
    <t>EPS</t>
  </si>
  <si>
    <t>Revenue y/y</t>
  </si>
  <si>
    <t>Gross Margin</t>
  </si>
  <si>
    <t>Operating Margin</t>
  </si>
  <si>
    <t>FCF Margin</t>
  </si>
  <si>
    <t>CFFO</t>
  </si>
  <si>
    <t>CX</t>
  </si>
  <si>
    <t>FCF</t>
  </si>
  <si>
    <t>Net Cash</t>
  </si>
  <si>
    <t>OPEX Margin</t>
  </si>
  <si>
    <t>ROIC</t>
  </si>
  <si>
    <t>Maturity</t>
  </si>
  <si>
    <t>Discount</t>
  </si>
  <si>
    <t>NPV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</si>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</sst>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3" fontId="0" fillId="0" borderId="0" xfId="0" applyNumberFormat="1"/>
    <xf numFmtId="3" fontId="2" fillId="0" borderId="0" xfId="1" applyNumberFormat="1"/>
    <xf numFmtId="3" fontId="1" fillId="0" borderId="0" xfId="0" applyNumberFormat="1" applyFont="1"/>
    <xf numFmtId="1" fontId="0" fillId="0" borderId="0" xfId="0" applyNumberFormat="1"/>
    <xf numFmtId="9" fontId="1" fillId="0" borderId="0" xfId="0" applyNumberFormat="1" applyFont="1"/>
    <xf numFmtId="9" fontId="0" fillId="0" borderId="0" xfId="0" applyNumberFormat="1"/>
    <xf numFmtId="4" fontId="0" fillId="0" borderId="0" xfId="0" applyNumberFormat="1"/>
    <xf numFmtId="10" fontId="0" fillId="0" borderId="0" xfId="0" applyNumberFormat="1"/>
    <xf numFmtId="4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666750</xdr:colOff>
      <xdr:row>0</xdr:row>
      <xdr:rowOff>28575</xdr:rowOff>
    </xdr:from>
    <xdr:to>
      <xdr:col>14</xdr:col>
      <xdr:colOff>0</xdr:colOff>
      <xdr:row>47</xdr:row>
      <xdr:rowOff>161925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2D4D5CA-6406-67A4-3D98-ED4F25331B47}"/>
            </a:ext>
          </a:extLst>
        </xdr:cNvPr>
        <xdr:cNvCxnSpPr/>
      </xdr:nvCxnSpPr>
      <xdr:spPr>
        <a:xfrm>
          <a:off x="8572500" y="28575"/>
          <a:ext cx="19050" cy="84582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0</xdr:row>
      <xdr:rowOff>0</xdr:rowOff>
    </xdr:from>
    <xdr:to>
      <xdr:col>7</xdr:col>
      <xdr:colOff>38100</xdr:colOff>
      <xdr:row>47</xdr:row>
      <xdr:rowOff>133350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72CCB3-55B4-4349-AE0C-64FD3E7F7C02}"/>
            </a:ext>
          </a:extLst>
        </xdr:cNvPr>
        <xdr:cNvCxnSpPr/>
      </xdr:nvCxnSpPr>
      <xdr:spPr>
        <a:xfrm>
          <a:off x="3810000" y="0"/>
          <a:ext cx="19050" cy="84582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65E30-94FB-4B61-B932-EBE28853E82E}">
  <dimension ref="A1:E7"/>
  <sheetViews>
    <sheetView zoomScale="205" zoomScaleNormal="205" workbookViewId="0">
      <selection activeCell="D2" sqref="D2"/>
    </sheetView>
  </sheetViews>
  <sheetFormatPr defaultRowHeight="14.25" x14ac:dyDescent="0.2"/>
  <sheetData>
    <row r="1" spans="1:5" ht="15" x14ac:dyDescent="0.25">
      <c r="A1" s="1" t="s">
        <v>0</v>
      </c>
    </row>
    <row r="2" spans="1:5" x14ac:dyDescent="0.2">
      <c r="C2" t="s">
        <v>1</v>
      </c>
      <c r="D2" s="8">
        <v>655</v>
      </c>
    </row>
    <row r="3" spans="1:5" x14ac:dyDescent="0.2">
      <c r="C3" t="s">
        <v>2</v>
      </c>
      <c r="D3" s="2">
        <v>210.24299999999999</v>
      </c>
      <c r="E3" t="s">
        <v>8</v>
      </c>
    </row>
    <row r="4" spans="1:5" x14ac:dyDescent="0.2">
      <c r="C4" t="s">
        <v>3</v>
      </c>
      <c r="D4" s="2">
        <f>D3*D2</f>
        <v>137709.16500000001</v>
      </c>
    </row>
    <row r="5" spans="1:5" x14ac:dyDescent="0.2">
      <c r="C5" t="s">
        <v>4</v>
      </c>
      <c r="D5" s="2">
        <f>5019+2694+146</f>
        <v>7859</v>
      </c>
      <c r="E5" t="s">
        <v>8</v>
      </c>
    </row>
    <row r="6" spans="1:5" x14ac:dyDescent="0.2">
      <c r="C6" t="s">
        <v>5</v>
      </c>
      <c r="D6" s="2">
        <v>475</v>
      </c>
      <c r="E6" t="s">
        <v>8</v>
      </c>
    </row>
    <row r="7" spans="1:5" x14ac:dyDescent="0.2">
      <c r="C7" t="s">
        <v>6</v>
      </c>
      <c r="D7" s="2">
        <f>D4+D6-D5</f>
        <v>130325.16500000001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917D3-53EB-43CC-B01B-0C8E4B1D8BA7}">
  <dimension ref="A1:DU34"/>
  <sheetViews>
    <sheetView tabSelected="1" workbookViewId="0">
      <pane xSplit="2" ySplit="1" topLeftCell="K2" activePane="bottomRight" state="frozen"/>
      <selection pane="topRight" activeCell="C1" sqref="C1"/>
      <selection pane="bottomLeft" activeCell="A2" sqref="A2"/>
      <selection pane="bottomRight" activeCell="S23" sqref="S23"/>
    </sheetView>
  </sheetViews>
  <sheetFormatPr defaultRowHeight="14.25" x14ac:dyDescent="0.2"/>
  <cols>
    <col min="1" max="1" width="4.75" style="2" customWidth="1"/>
    <col min="2" max="2" width="17.25" style="2" customWidth="1"/>
    <col min="3" max="16384" width="9" style="2"/>
  </cols>
  <sheetData>
    <row r="1" spans="1:117" x14ac:dyDescent="0.2">
      <c r="A1" s="3" t="s">
        <v>7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8</v>
      </c>
      <c r="H1" s="2" t="s">
        <v>9</v>
      </c>
      <c r="I1" s="2" t="s">
        <v>10</v>
      </c>
      <c r="J1" s="2" t="s">
        <v>11</v>
      </c>
      <c r="L1" s="5">
        <v>2022</v>
      </c>
      <c r="M1" s="5">
        <f>L1+1</f>
        <v>2023</v>
      </c>
      <c r="N1" s="5">
        <f t="shared" ref="N1:S1" si="0">M1+1</f>
        <v>2024</v>
      </c>
      <c r="O1" s="5">
        <f t="shared" si="0"/>
        <v>2025</v>
      </c>
      <c r="P1" s="5">
        <f t="shared" si="0"/>
        <v>2026</v>
      </c>
      <c r="Q1" s="5">
        <f t="shared" si="0"/>
        <v>2027</v>
      </c>
      <c r="R1" s="5">
        <f t="shared" si="0"/>
        <v>2028</v>
      </c>
      <c r="S1" s="5">
        <f t="shared" si="0"/>
        <v>2029</v>
      </c>
    </row>
    <row r="2" spans="1:117" s="4" customFormat="1" ht="15" x14ac:dyDescent="0.25">
      <c r="A2" s="2"/>
      <c r="B2" s="4" t="s">
        <v>16</v>
      </c>
      <c r="L2" s="4">
        <v>11727</v>
      </c>
      <c r="M2" s="4">
        <v>13247</v>
      </c>
      <c r="N2" s="4">
        <v>15673</v>
      </c>
      <c r="O2" s="4">
        <f>N2*1.19</f>
        <v>18650.87</v>
      </c>
      <c r="P2" s="4">
        <f t="shared" ref="P2:S2" si="1">O2*1.19</f>
        <v>22194.5353</v>
      </c>
      <c r="Q2" s="4">
        <f t="shared" si="1"/>
        <v>26411.497006999998</v>
      </c>
      <c r="R2" s="4">
        <f t="shared" si="1"/>
        <v>31429.681438329997</v>
      </c>
      <c r="S2" s="4">
        <f t="shared" si="1"/>
        <v>37401.320911612696</v>
      </c>
    </row>
    <row r="3" spans="1:117" x14ac:dyDescent="0.2">
      <c r="B3" s="2" t="s">
        <v>17</v>
      </c>
      <c r="L3" s="2">
        <v>8801</v>
      </c>
      <c r="M3" s="2">
        <v>9850</v>
      </c>
      <c r="N3" s="2">
        <v>10949</v>
      </c>
      <c r="O3" s="2">
        <f>O2*(1-O21)</f>
        <v>12860.663199999999</v>
      </c>
      <c r="P3" s="2">
        <f>P2*(1-P21)</f>
        <v>15097.478825239998</v>
      </c>
      <c r="Q3" s="2">
        <f>Q2*(1-Q21)</f>
        <v>17712.634885886666</v>
      </c>
      <c r="R3" s="2">
        <f>R2*(1-R21)</f>
        <v>20767.486136481388</v>
      </c>
      <c r="S3" s="2">
        <f>S2*(1-S21)</f>
        <v>24332.668130136852</v>
      </c>
    </row>
    <row r="4" spans="1:117" x14ac:dyDescent="0.2">
      <c r="B4" s="2" t="s">
        <v>18</v>
      </c>
      <c r="L4" s="2">
        <f>L2-L3</f>
        <v>2926</v>
      </c>
      <c r="M4" s="2">
        <f t="shared" ref="M4:S4" si="2">M2-M3</f>
        <v>3397</v>
      </c>
      <c r="N4" s="2">
        <f t="shared" si="2"/>
        <v>4724</v>
      </c>
      <c r="O4" s="2">
        <f t="shared" si="2"/>
        <v>5790.2067999999999</v>
      </c>
      <c r="P4" s="2">
        <f t="shared" si="2"/>
        <v>7097.0564747600019</v>
      </c>
      <c r="Q4" s="2">
        <f t="shared" si="2"/>
        <v>8698.8621211133323</v>
      </c>
      <c r="R4" s="2">
        <f t="shared" si="2"/>
        <v>10662.195301848609</v>
      </c>
      <c r="S4" s="2">
        <f t="shared" si="2"/>
        <v>13068.652781475845</v>
      </c>
      <c r="U4" s="7"/>
      <c r="V4" s="7"/>
      <c r="W4" s="7"/>
      <c r="X4" s="7"/>
      <c r="Y4" s="7"/>
      <c r="Z4" s="7"/>
    </row>
    <row r="5" spans="1:117" x14ac:dyDescent="0.2">
      <c r="B5" s="2" t="s">
        <v>19</v>
      </c>
      <c r="L5" s="2">
        <v>1387</v>
      </c>
      <c r="M5" s="2">
        <v>1725</v>
      </c>
      <c r="N5" s="2">
        <v>1486</v>
      </c>
      <c r="V5" s="7"/>
      <c r="W5" s="7"/>
      <c r="X5" s="7"/>
      <c r="Y5" s="7"/>
      <c r="Z5" s="7"/>
    </row>
    <row r="6" spans="1:117" x14ac:dyDescent="0.2">
      <c r="B6" s="2" t="s">
        <v>20</v>
      </c>
      <c r="L6" s="2">
        <v>1572</v>
      </c>
      <c r="M6" s="2">
        <v>1533</v>
      </c>
      <c r="N6" s="2">
        <v>1392</v>
      </c>
    </row>
    <row r="7" spans="1:117" x14ac:dyDescent="0.2">
      <c r="B7" s="2" t="s">
        <v>21</v>
      </c>
      <c r="L7" s="2">
        <v>626</v>
      </c>
      <c r="M7" s="2">
        <v>585</v>
      </c>
      <c r="N7" s="2">
        <v>481</v>
      </c>
      <c r="T7" s="7"/>
    </row>
    <row r="8" spans="1:117" x14ac:dyDescent="0.2">
      <c r="B8" s="2" t="s">
        <v>22</v>
      </c>
      <c r="L8" s="2">
        <f>SUM(L5:L7)</f>
        <v>3585</v>
      </c>
      <c r="M8" s="2">
        <f t="shared" ref="M8:N8" si="3">SUM(M5:M7)</f>
        <v>3843</v>
      </c>
      <c r="N8" s="2">
        <f t="shared" si="3"/>
        <v>3359</v>
      </c>
      <c r="O8" s="2">
        <f>O2*O24</f>
        <v>3877.2936999999993</v>
      </c>
      <c r="P8" s="2">
        <f>P2*P24</f>
        <v>4475.5601179099995</v>
      </c>
      <c r="Q8" s="2">
        <f>Q2*Q24</f>
        <v>5166.1390441035119</v>
      </c>
      <c r="R8" s="2">
        <f>R2*R24</f>
        <v>5963.2742986086832</v>
      </c>
      <c r="S8" s="2">
        <f>S2*S24</f>
        <v>6883.4075228840029</v>
      </c>
    </row>
    <row r="9" spans="1:117" x14ac:dyDescent="0.2">
      <c r="B9" s="2" t="s">
        <v>23</v>
      </c>
      <c r="L9" s="2">
        <f>L4-L8</f>
        <v>-659</v>
      </c>
      <c r="M9" s="2">
        <f t="shared" ref="M9:N9" si="4">M4-M8</f>
        <v>-446</v>
      </c>
      <c r="N9" s="2">
        <f t="shared" si="4"/>
        <v>1365</v>
      </c>
      <c r="O9" s="2">
        <f t="shared" ref="O9" si="5">O4-O8</f>
        <v>1912.9131000000007</v>
      </c>
      <c r="P9" s="2">
        <f t="shared" ref="P9" si="6">P4-P8</f>
        <v>2621.4963568500025</v>
      </c>
      <c r="Q9" s="2">
        <f t="shared" ref="Q9" si="7">Q4-Q8</f>
        <v>3532.7230770098204</v>
      </c>
      <c r="R9" s="2">
        <f t="shared" ref="R9" si="8">R4-R8</f>
        <v>4698.921003239926</v>
      </c>
      <c r="S9" s="2">
        <f t="shared" ref="S9" si="9">S4-S8</f>
        <v>6185.2452585918418</v>
      </c>
    </row>
    <row r="10" spans="1:117" x14ac:dyDescent="0.2">
      <c r="B10" s="2" t="s">
        <v>24</v>
      </c>
      <c r="L10" s="2">
        <v>421</v>
      </c>
      <c r="M10" s="2">
        <v>161</v>
      </c>
      <c r="N10" s="2">
        <v>328</v>
      </c>
      <c r="O10" s="2">
        <f>N30*$V$17</f>
        <v>147.68</v>
      </c>
      <c r="P10" s="2">
        <f>O30*$V$17</f>
        <v>181.06160822000001</v>
      </c>
      <c r="Q10" s="2">
        <f>P30*$V$17</f>
        <v>226.46304725413407</v>
      </c>
      <c r="R10" s="2">
        <f>Q30*$V$17</f>
        <v>287.36186246721013</v>
      </c>
      <c r="S10" s="2">
        <f>R30*$V$17</f>
        <v>368.13964489166574</v>
      </c>
    </row>
    <row r="11" spans="1:117" x14ac:dyDescent="0.2">
      <c r="B11" s="2" t="s">
        <v>25</v>
      </c>
      <c r="L11" s="2">
        <v>132</v>
      </c>
      <c r="M11" s="2">
        <v>220</v>
      </c>
      <c r="N11" s="2">
        <v>352</v>
      </c>
    </row>
    <row r="12" spans="1:117" x14ac:dyDescent="0.2">
      <c r="B12" s="2" t="s">
        <v>26</v>
      </c>
      <c r="L12" s="2">
        <f>L9+L10-L11</f>
        <v>-370</v>
      </c>
      <c r="M12" s="2">
        <f t="shared" ref="M12:S12" si="10">M9+M10-M11</f>
        <v>-505</v>
      </c>
      <c r="N12" s="2">
        <f t="shared" si="10"/>
        <v>1341</v>
      </c>
      <c r="O12" s="2">
        <f t="shared" si="10"/>
        <v>2060.5931000000005</v>
      </c>
      <c r="P12" s="2">
        <f t="shared" si="10"/>
        <v>2802.5579650700024</v>
      </c>
      <c r="Q12" s="2">
        <f t="shared" si="10"/>
        <v>3759.1861242639543</v>
      </c>
      <c r="R12" s="2">
        <f t="shared" si="10"/>
        <v>4986.2828657071359</v>
      </c>
      <c r="S12" s="2">
        <f t="shared" si="10"/>
        <v>6553.3849034835075</v>
      </c>
    </row>
    <row r="13" spans="1:117" x14ac:dyDescent="0.2">
      <c r="B13" s="2" t="s">
        <v>27</v>
      </c>
      <c r="L13" s="2">
        <v>60</v>
      </c>
      <c r="M13" s="2">
        <v>27</v>
      </c>
      <c r="N13" s="2">
        <v>203</v>
      </c>
      <c r="O13" s="2">
        <f>O12*0.19</f>
        <v>391.51268900000008</v>
      </c>
      <c r="P13" s="2">
        <f t="shared" ref="P13:S13" si="11">P12*0.19</f>
        <v>532.48601336330046</v>
      </c>
      <c r="Q13" s="2">
        <f t="shared" si="11"/>
        <v>714.24536361015134</v>
      </c>
      <c r="R13" s="2">
        <f t="shared" si="11"/>
        <v>947.39374448435581</v>
      </c>
      <c r="S13" s="2">
        <f t="shared" si="11"/>
        <v>1245.1431316618664</v>
      </c>
    </row>
    <row r="14" spans="1:117" s="4" customFormat="1" ht="15" x14ac:dyDescent="0.25">
      <c r="A14" s="2"/>
      <c r="B14" s="4" t="s">
        <v>28</v>
      </c>
      <c r="L14" s="4">
        <f>L12-L13</f>
        <v>-430</v>
      </c>
      <c r="M14" s="4">
        <f t="shared" ref="M14:N14" si="12">M12-M13</f>
        <v>-532</v>
      </c>
      <c r="N14" s="4">
        <f t="shared" si="12"/>
        <v>1138</v>
      </c>
      <c r="O14" s="4">
        <f t="shared" ref="O14" si="13">O12-O13</f>
        <v>1669.0804110000004</v>
      </c>
      <c r="P14" s="4">
        <f t="shared" ref="P14" si="14">P12-P13</f>
        <v>2270.0719517067018</v>
      </c>
      <c r="Q14" s="4">
        <f t="shared" ref="Q14" si="15">Q12-Q13</f>
        <v>3044.940760653803</v>
      </c>
      <c r="R14" s="4">
        <f t="shared" ref="R14" si="16">R12-R13</f>
        <v>4038.88912122278</v>
      </c>
      <c r="S14" s="4">
        <f t="shared" ref="S14" si="17">S12-S13</f>
        <v>5308.2417718216411</v>
      </c>
      <c r="T14" s="4">
        <f t="shared" ref="T14:AY14" si="18">S14*(1+$V$18)</f>
        <v>5361.3241895398578</v>
      </c>
      <c r="U14" s="4">
        <f t="shared" si="18"/>
        <v>5414.9374314352563</v>
      </c>
      <c r="V14" s="4">
        <f t="shared" si="18"/>
        <v>5469.0868057496091</v>
      </c>
      <c r="W14" s="4">
        <f t="shared" si="18"/>
        <v>5523.7776738071052</v>
      </c>
      <c r="X14" s="4">
        <f t="shared" si="18"/>
        <v>5579.0154505451765</v>
      </c>
      <c r="Y14" s="4">
        <f t="shared" si="18"/>
        <v>5634.8056050506284</v>
      </c>
      <c r="Z14" s="4">
        <f t="shared" si="18"/>
        <v>5691.1536611011352</v>
      </c>
      <c r="AA14" s="4">
        <f t="shared" si="18"/>
        <v>5748.065197712147</v>
      </c>
      <c r="AB14" s="4">
        <f t="shared" si="18"/>
        <v>5805.5458496892688</v>
      </c>
      <c r="AC14" s="4">
        <f t="shared" si="18"/>
        <v>5863.601308186162</v>
      </c>
      <c r="AD14" s="4">
        <f t="shared" si="18"/>
        <v>5922.2373212680241</v>
      </c>
      <c r="AE14" s="4">
        <f t="shared" si="18"/>
        <v>5981.4596944807045</v>
      </c>
      <c r="AF14" s="4">
        <f t="shared" si="18"/>
        <v>6041.2742914255114</v>
      </c>
      <c r="AG14" s="4">
        <f t="shared" si="18"/>
        <v>6101.6870343397668</v>
      </c>
      <c r="AH14" s="4">
        <f t="shared" si="18"/>
        <v>6162.7039046831642</v>
      </c>
      <c r="AI14" s="4">
        <f t="shared" si="18"/>
        <v>6224.3309437299959</v>
      </c>
      <c r="AJ14" s="4">
        <f t="shared" si="18"/>
        <v>6286.5742531672959</v>
      </c>
      <c r="AK14" s="4">
        <f t="shared" si="18"/>
        <v>6349.4399956989691</v>
      </c>
      <c r="AL14" s="4">
        <f t="shared" si="18"/>
        <v>6412.9343956559587</v>
      </c>
      <c r="AM14" s="4">
        <f t="shared" si="18"/>
        <v>6477.0637396125185</v>
      </c>
      <c r="AN14" s="4">
        <f t="shared" si="18"/>
        <v>6541.834377008644</v>
      </c>
      <c r="AO14" s="4">
        <f t="shared" si="18"/>
        <v>6607.2527207787307</v>
      </c>
      <c r="AP14" s="4">
        <f t="shared" si="18"/>
        <v>6673.3252479865178</v>
      </c>
      <c r="AQ14" s="4">
        <f t="shared" si="18"/>
        <v>6740.0585004663826</v>
      </c>
      <c r="AR14" s="4">
        <f t="shared" si="18"/>
        <v>6807.4590854710468</v>
      </c>
      <c r="AS14" s="4">
        <f t="shared" si="18"/>
        <v>6875.5336763257574</v>
      </c>
      <c r="AT14" s="4">
        <f t="shared" si="18"/>
        <v>6944.2890130890146</v>
      </c>
      <c r="AU14" s="4">
        <f t="shared" si="18"/>
        <v>7013.7319032199048</v>
      </c>
      <c r="AV14" s="4">
        <f t="shared" si="18"/>
        <v>7083.869222252104</v>
      </c>
      <c r="AW14" s="4">
        <f t="shared" si="18"/>
        <v>7154.7079144746249</v>
      </c>
      <c r="AX14" s="4">
        <f t="shared" si="18"/>
        <v>7226.2549936193709</v>
      </c>
      <c r="AY14" s="4">
        <f t="shared" si="18"/>
        <v>7298.5175435555648</v>
      </c>
      <c r="AZ14" s="4">
        <f t="shared" ref="AZ14:CE14" si="19">AY14*(1+$V$18)</f>
        <v>7371.5027189911207</v>
      </c>
      <c r="BA14" s="4">
        <f t="shared" si="19"/>
        <v>7445.2177461810315</v>
      </c>
      <c r="BB14" s="4">
        <f t="shared" si="19"/>
        <v>7519.6699236428422</v>
      </c>
      <c r="BC14" s="4">
        <f t="shared" si="19"/>
        <v>7594.8666228792708</v>
      </c>
      <c r="BD14" s="4">
        <f t="shared" si="19"/>
        <v>7670.8152891080636</v>
      </c>
      <c r="BE14" s="4">
        <f t="shared" si="19"/>
        <v>7747.5234419991439</v>
      </c>
      <c r="BF14" s="4">
        <f t="shared" si="19"/>
        <v>7824.9986764191353</v>
      </c>
      <c r="BG14" s="4">
        <f t="shared" si="19"/>
        <v>7903.2486631833272</v>
      </c>
      <c r="BH14" s="4">
        <f t="shared" si="19"/>
        <v>7982.2811498151605</v>
      </c>
      <c r="BI14" s="4">
        <f t="shared" si="19"/>
        <v>8062.1039613133125</v>
      </c>
      <c r="BJ14" s="4">
        <f t="shared" si="19"/>
        <v>8142.7250009264453</v>
      </c>
      <c r="BK14" s="4">
        <f t="shared" si="19"/>
        <v>8224.1522509357092</v>
      </c>
      <c r="BL14" s="4">
        <f t="shared" si="19"/>
        <v>8306.3937734450665</v>
      </c>
      <c r="BM14" s="4">
        <f t="shared" si="19"/>
        <v>8389.457711179517</v>
      </c>
      <c r="BN14" s="4">
        <f t="shared" si="19"/>
        <v>8473.352288291313</v>
      </c>
      <c r="BO14" s="4">
        <f t="shared" si="19"/>
        <v>8558.0858111742255</v>
      </c>
      <c r="BP14" s="4">
        <f t="shared" si="19"/>
        <v>8643.6666692859671</v>
      </c>
      <c r="BQ14" s="4">
        <f t="shared" si="19"/>
        <v>8730.1033359788271</v>
      </c>
      <c r="BR14" s="4">
        <f t="shared" si="19"/>
        <v>8817.4043693386157</v>
      </c>
      <c r="BS14" s="4">
        <f t="shared" si="19"/>
        <v>8905.5784130320026</v>
      </c>
      <c r="BT14" s="4">
        <f t="shared" si="19"/>
        <v>8994.6341971623224</v>
      </c>
      <c r="BU14" s="4">
        <f t="shared" si="19"/>
        <v>9084.5805391339454</v>
      </c>
      <c r="BV14" s="4">
        <f t="shared" si="19"/>
        <v>9175.4263445252855</v>
      </c>
      <c r="BW14" s="4">
        <f t="shared" si="19"/>
        <v>9267.1806079705384</v>
      </c>
      <c r="BX14" s="4">
        <f t="shared" si="19"/>
        <v>9359.8524140502432</v>
      </c>
      <c r="BY14" s="4">
        <f t="shared" si="19"/>
        <v>9453.4509381907465</v>
      </c>
      <c r="BZ14" s="4">
        <f t="shared" si="19"/>
        <v>9547.9854475726534</v>
      </c>
      <c r="CA14" s="4">
        <f t="shared" si="19"/>
        <v>9643.4653020483802</v>
      </c>
      <c r="CB14" s="4">
        <f t="shared" si="19"/>
        <v>9739.8999550688641</v>
      </c>
      <c r="CC14" s="4">
        <f t="shared" si="19"/>
        <v>9837.2989546195531</v>
      </c>
      <c r="CD14" s="4">
        <f t="shared" si="19"/>
        <v>9935.6719441657478</v>
      </c>
      <c r="CE14" s="4">
        <f t="shared" si="19"/>
        <v>10035.028663607405</v>
      </c>
      <c r="CF14" s="4">
        <f t="shared" ref="CF14:DM14" si="20">CE14*(1+$V$18)</f>
        <v>10135.378950243479</v>
      </c>
      <c r="CG14" s="4">
        <f t="shared" si="20"/>
        <v>10236.732739745914</v>
      </c>
      <c r="CH14" s="4">
        <f t="shared" si="20"/>
        <v>10339.100067143374</v>
      </c>
      <c r="CI14" s="4">
        <f t="shared" si="20"/>
        <v>10442.491067814808</v>
      </c>
      <c r="CJ14" s="4">
        <f t="shared" si="20"/>
        <v>10546.915978492956</v>
      </c>
      <c r="CK14" s="4">
        <f t="shared" si="20"/>
        <v>10652.385138277887</v>
      </c>
      <c r="CL14" s="4">
        <f t="shared" si="20"/>
        <v>10758.908989660666</v>
      </c>
      <c r="CM14" s="4">
        <f t="shared" si="20"/>
        <v>10866.498079557272</v>
      </c>
      <c r="CN14" s="4">
        <f t="shared" si="20"/>
        <v>10975.163060352845</v>
      </c>
      <c r="CO14" s="4">
        <f t="shared" si="20"/>
        <v>11084.914690956373</v>
      </c>
      <c r="CP14" s="4">
        <f t="shared" si="20"/>
        <v>11195.763837865938</v>
      </c>
      <c r="CQ14" s="4">
        <f t="shared" si="20"/>
        <v>11307.721476244596</v>
      </c>
      <c r="CR14" s="4">
        <f t="shared" si="20"/>
        <v>11420.798691007043</v>
      </c>
      <c r="CS14" s="4">
        <f t="shared" si="20"/>
        <v>11535.006677917114</v>
      </c>
      <c r="CT14" s="4">
        <f t="shared" si="20"/>
        <v>11650.356744696284</v>
      </c>
      <c r="CU14" s="4">
        <f t="shared" si="20"/>
        <v>11766.860312143248</v>
      </c>
      <c r="CV14" s="4">
        <f t="shared" si="20"/>
        <v>11884.52891526468</v>
      </c>
      <c r="CW14" s="4">
        <f t="shared" si="20"/>
        <v>12003.374204417327</v>
      </c>
      <c r="CX14" s="4">
        <f t="shared" si="20"/>
        <v>12123.407946461501</v>
      </c>
      <c r="CY14" s="4">
        <f t="shared" si="20"/>
        <v>12244.642025926116</v>
      </c>
      <c r="CZ14" s="4">
        <f t="shared" si="20"/>
        <v>12367.088446185377</v>
      </c>
      <c r="DA14" s="4">
        <f t="shared" si="20"/>
        <v>12490.75933064723</v>
      </c>
      <c r="DB14" s="4">
        <f t="shared" si="20"/>
        <v>12615.666923953702</v>
      </c>
      <c r="DC14" s="4">
        <f t="shared" si="20"/>
        <v>12741.82359319324</v>
      </c>
      <c r="DD14" s="4">
        <f t="shared" si="20"/>
        <v>12869.241829125172</v>
      </c>
      <c r="DE14" s="4">
        <f t="shared" si="20"/>
        <v>12997.934247416424</v>
      </c>
      <c r="DF14" s="4">
        <f t="shared" si="20"/>
        <v>13127.913589890588</v>
      </c>
      <c r="DG14" s="4">
        <f t="shared" si="20"/>
        <v>13259.192725789493</v>
      </c>
      <c r="DH14" s="4">
        <f t="shared" si="20"/>
        <v>13391.784653047389</v>
      </c>
      <c r="DI14" s="4">
        <f t="shared" si="20"/>
        <v>13525.702499577863</v>
      </c>
      <c r="DJ14" s="4">
        <f t="shared" si="20"/>
        <v>13660.959524573642</v>
      </c>
      <c r="DK14" s="4">
        <f t="shared" si="20"/>
        <v>13797.569119819378</v>
      </c>
      <c r="DL14" s="4">
        <f t="shared" si="20"/>
        <v>13935.544811017571</v>
      </c>
      <c r="DM14" s="4">
        <f t="shared" si="20"/>
        <v>14074.900259127748</v>
      </c>
    </row>
    <row r="15" spans="1:117" x14ac:dyDescent="0.2">
      <c r="B15" s="2" t="s">
        <v>29</v>
      </c>
      <c r="L15" s="8">
        <f>L14/L16</f>
        <v>-2.1956026674019382</v>
      </c>
      <c r="M15" s="8">
        <f t="shared" ref="M15:N15" si="21">M14/M16</f>
        <v>-2.7319598217036747</v>
      </c>
      <c r="N15" s="8">
        <f t="shared" si="21"/>
        <v>5.4978501376878111</v>
      </c>
      <c r="O15" s="8">
        <f t="shared" ref="O15" si="22">O14/O16</f>
        <v>8.0635799362288054</v>
      </c>
      <c r="P15" s="8">
        <f t="shared" ref="P15" si="23">P14/P16</f>
        <v>10.967060977374278</v>
      </c>
      <c r="Q15" s="8">
        <f t="shared" ref="Q15" si="24">Q14/Q16</f>
        <v>14.710569402646518</v>
      </c>
      <c r="R15" s="8">
        <f t="shared" ref="R15" si="25">R14/R16</f>
        <v>19.512484280510073</v>
      </c>
      <c r="S15" s="8">
        <f t="shared" ref="S15" si="26">S14/S16</f>
        <v>25.644918942082423</v>
      </c>
    </row>
    <row r="16" spans="1:117" x14ac:dyDescent="0.2">
      <c r="B16" s="2" t="s">
        <v>2</v>
      </c>
      <c r="L16" s="2">
        <v>195.846</v>
      </c>
      <c r="M16" s="2">
        <v>194.732</v>
      </c>
      <c r="N16" s="2">
        <v>206.99</v>
      </c>
      <c r="O16" s="2">
        <v>206.99</v>
      </c>
      <c r="P16" s="2">
        <v>206.99</v>
      </c>
      <c r="Q16" s="2">
        <v>206.99</v>
      </c>
      <c r="R16" s="2">
        <v>206.99</v>
      </c>
      <c r="S16" s="2">
        <v>206.99</v>
      </c>
    </row>
    <row r="17" spans="1:125" x14ac:dyDescent="0.2">
      <c r="U17" s="2" t="s">
        <v>39</v>
      </c>
      <c r="V17" s="9">
        <v>0.02</v>
      </c>
    </row>
    <row r="18" spans="1:125" s="4" customFormat="1" ht="15" x14ac:dyDescent="0.25">
      <c r="A18" s="2"/>
      <c r="B18" s="4" t="s">
        <v>30</v>
      </c>
      <c r="M18" s="6">
        <f>M2/L2-1</f>
        <v>0.12961541741280813</v>
      </c>
      <c r="N18" s="6">
        <f>N2/M2-1</f>
        <v>0.18313580433305665</v>
      </c>
      <c r="O18" s="6">
        <f t="shared" ref="O18:S18" si="27">O2/N2-1</f>
        <v>0.18999999999999995</v>
      </c>
      <c r="P18" s="6">
        <f t="shared" si="27"/>
        <v>0.18999999999999995</v>
      </c>
      <c r="Q18" s="6">
        <f t="shared" si="27"/>
        <v>0.18999999999999995</v>
      </c>
      <c r="R18" s="6">
        <f t="shared" si="27"/>
        <v>0.18999999999999995</v>
      </c>
      <c r="S18" s="6">
        <f t="shared" si="27"/>
        <v>0.18999999999999995</v>
      </c>
      <c r="U18" s="2" t="s">
        <v>40</v>
      </c>
      <c r="V18" s="9">
        <v>0.01</v>
      </c>
    </row>
    <row r="19" spans="1:125" x14ac:dyDescent="0.2">
      <c r="N19" s="7">
        <f t="shared" ref="N19:S19" si="28">N18/M18-1</f>
        <v>0.41291682724589074</v>
      </c>
      <c r="O19" s="7">
        <f t="shared" si="28"/>
        <v>3.7481450948061656E-2</v>
      </c>
      <c r="P19" s="7">
        <f t="shared" si="28"/>
        <v>0</v>
      </c>
      <c r="Q19" s="7">
        <f t="shared" si="28"/>
        <v>0</v>
      </c>
      <c r="R19" s="7">
        <f t="shared" si="28"/>
        <v>0</v>
      </c>
      <c r="S19" s="7">
        <f t="shared" si="28"/>
        <v>0</v>
      </c>
      <c r="U19" s="2" t="s">
        <v>41</v>
      </c>
      <c r="V19" s="9">
        <v>0.08</v>
      </c>
    </row>
    <row r="20" spans="1:125" x14ac:dyDescent="0.2">
      <c r="N20" s="7"/>
      <c r="O20" s="7"/>
      <c r="P20" s="7"/>
      <c r="Q20" s="7"/>
      <c r="R20" s="7"/>
      <c r="S20" s="7"/>
      <c r="U20" s="2" t="s">
        <v>42</v>
      </c>
      <c r="V20" s="2">
        <f>NPV(V19,O28:XFD28)+main!D5-main!D6</f>
        <v>168959.28299226935</v>
      </c>
    </row>
    <row r="21" spans="1:125" s="4" customFormat="1" ht="15" x14ac:dyDescent="0.25">
      <c r="A21" s="2"/>
      <c r="B21" s="4" t="s">
        <v>31</v>
      </c>
      <c r="L21" s="6">
        <f>L4/L2</f>
        <v>0.2495096785196555</v>
      </c>
      <c r="M21" s="6">
        <f>M4/M2</f>
        <v>0.25643541934022795</v>
      </c>
      <c r="N21" s="6">
        <f>N4/N2</f>
        <v>0.30141006827027372</v>
      </c>
      <c r="O21" s="6">
        <f>N21*1.03</f>
        <v>0.31045237031838196</v>
      </c>
      <c r="P21" s="6">
        <f t="shared" ref="P21:S21" si="29">O21*1.03</f>
        <v>0.31976594142793341</v>
      </c>
      <c r="Q21" s="6">
        <f t="shared" si="29"/>
        <v>0.32935891967077141</v>
      </c>
      <c r="R21" s="6">
        <f t="shared" si="29"/>
        <v>0.33923968726089454</v>
      </c>
      <c r="S21" s="6">
        <f t="shared" si="29"/>
        <v>0.34941687787872139</v>
      </c>
      <c r="U21" s="2" t="s">
        <v>1</v>
      </c>
      <c r="V21" s="10">
        <f>V20/main!D3</f>
        <v>803.63809017312997</v>
      </c>
    </row>
    <row r="22" spans="1:125" x14ac:dyDescent="0.2">
      <c r="B22" s="2" t="s">
        <v>32</v>
      </c>
      <c r="L22" s="7">
        <f t="shared" ref="L22:S22" si="30">L9/L2</f>
        <v>-5.6195105312526646E-2</v>
      </c>
      <c r="M22" s="7">
        <f t="shared" si="30"/>
        <v>-3.3668000301955159E-2</v>
      </c>
      <c r="N22" s="7">
        <f t="shared" si="30"/>
        <v>8.7092451987494421E-2</v>
      </c>
      <c r="O22" s="7">
        <f t="shared" si="30"/>
        <v>0.10256428252408605</v>
      </c>
      <c r="P22" s="7">
        <f t="shared" si="30"/>
        <v>0.11811449626746645</v>
      </c>
      <c r="Q22" s="7">
        <f t="shared" si="30"/>
        <v>0.13375701786511843</v>
      </c>
      <c r="R22" s="7">
        <f t="shared" si="30"/>
        <v>0.1495058425094111</v>
      </c>
      <c r="S22" s="7">
        <f t="shared" si="30"/>
        <v>0.16537504846978257</v>
      </c>
      <c r="U22" s="2" t="s">
        <v>43</v>
      </c>
      <c r="V22" s="7">
        <f>V21/main!D2-1</f>
        <v>0.22692838194370979</v>
      </c>
    </row>
    <row r="23" spans="1:125" x14ac:dyDescent="0.2">
      <c r="B23" s="2" t="s">
        <v>33</v>
      </c>
      <c r="L23" s="7">
        <f>L28/L2</f>
        <v>1.7907393195190585E-3</v>
      </c>
      <c r="M23" s="7">
        <f>M28/M2</f>
        <v>5.0879444402506226E-2</v>
      </c>
      <c r="N23" s="7">
        <f>N28/N2</f>
        <v>0.14572832259299431</v>
      </c>
      <c r="O23" s="7">
        <f>N23*1.2</f>
        <v>0.17487398711159316</v>
      </c>
      <c r="P23" s="7">
        <f t="shared" ref="P23:S23" si="31">O23*1.2</f>
        <v>0.20984878453391179</v>
      </c>
      <c r="Q23" s="7">
        <f t="shared" si="31"/>
        <v>0.25181854144069415</v>
      </c>
      <c r="R23" s="7">
        <f t="shared" si="31"/>
        <v>0.30218224972883295</v>
      </c>
      <c r="S23" s="7">
        <f t="shared" si="31"/>
        <v>0.36261869967459953</v>
      </c>
    </row>
    <row r="24" spans="1:125" x14ac:dyDescent="0.2">
      <c r="B24" s="2" t="s">
        <v>38</v>
      </c>
      <c r="L24" s="7">
        <f>L8/L2</f>
        <v>0.30570478383218214</v>
      </c>
      <c r="M24" s="7">
        <f>M8/M2</f>
        <v>0.29010341964218311</v>
      </c>
      <c r="N24" s="7">
        <f>N8/N2</f>
        <v>0.21431761628277929</v>
      </c>
      <c r="O24" s="7">
        <f>N24*(0.97)</f>
        <v>0.20788808779429591</v>
      </c>
      <c r="P24" s="7">
        <f t="shared" ref="P24:S24" si="32">O24*(0.97)</f>
        <v>0.20165144516046701</v>
      </c>
      <c r="Q24" s="7">
        <f t="shared" si="32"/>
        <v>0.19560190180565301</v>
      </c>
      <c r="R24" s="7">
        <f t="shared" si="32"/>
        <v>0.18973384475148342</v>
      </c>
      <c r="S24" s="7">
        <f t="shared" si="32"/>
        <v>0.1840418294089389</v>
      </c>
    </row>
    <row r="26" spans="1:125" x14ac:dyDescent="0.2">
      <c r="B26" s="2" t="s">
        <v>34</v>
      </c>
      <c r="L26" s="2">
        <v>46</v>
      </c>
      <c r="M26" s="2">
        <v>680</v>
      </c>
      <c r="N26" s="2">
        <v>2301</v>
      </c>
    </row>
    <row r="27" spans="1:125" x14ac:dyDescent="0.2">
      <c r="B27" s="2" t="s">
        <v>35</v>
      </c>
      <c r="L27" s="2">
        <v>25</v>
      </c>
      <c r="M27" s="2">
        <v>6</v>
      </c>
      <c r="N27" s="2">
        <v>17</v>
      </c>
    </row>
    <row r="28" spans="1:125" s="4" customFormat="1" ht="15" x14ac:dyDescent="0.25">
      <c r="A28" s="2"/>
      <c r="B28" s="4" t="s">
        <v>36</v>
      </c>
      <c r="L28" s="4">
        <f>L26-L27</f>
        <v>21</v>
      </c>
      <c r="M28" s="4">
        <f t="shared" ref="M28:N28" si="33">M26-M27</f>
        <v>674</v>
      </c>
      <c r="N28" s="4">
        <f t="shared" si="33"/>
        <v>2284</v>
      </c>
      <c r="O28" s="4">
        <f>O23*O2</f>
        <v>3261.5519999999992</v>
      </c>
      <c r="P28" s="4">
        <f>P23*P2</f>
        <v>4657.4962559999994</v>
      </c>
      <c r="Q28" s="4">
        <f>Q23*Q2</f>
        <v>6650.904653567999</v>
      </c>
      <c r="R28" s="4">
        <f>R23*R2</f>
        <v>9497.4918452951006</v>
      </c>
      <c r="S28" s="4">
        <f>S23*S2</f>
        <v>13562.418355081403</v>
      </c>
      <c r="T28" s="4">
        <f t="shared" ref="T28:AY28" si="34">S28*(1+$V$18)</f>
        <v>13698.042538632217</v>
      </c>
      <c r="U28" s="4">
        <f t="shared" si="34"/>
        <v>13835.022964018539</v>
      </c>
      <c r="V28" s="4">
        <f t="shared" si="34"/>
        <v>13973.373193658725</v>
      </c>
      <c r="W28" s="4">
        <f t="shared" si="34"/>
        <v>14113.106925595312</v>
      </c>
      <c r="X28" s="4">
        <f t="shared" si="34"/>
        <v>14254.237994851264</v>
      </c>
      <c r="Y28" s="4">
        <f t="shared" si="34"/>
        <v>14396.780374799777</v>
      </c>
      <c r="Z28" s="4">
        <f t="shared" si="34"/>
        <v>14540.748178547774</v>
      </c>
      <c r="AA28" s="4">
        <f t="shared" si="34"/>
        <v>14686.155660333252</v>
      </c>
      <c r="AB28" s="4">
        <f t="shared" si="34"/>
        <v>14833.017216936585</v>
      </c>
      <c r="AC28" s="4">
        <f t="shared" si="34"/>
        <v>14981.347389105951</v>
      </c>
      <c r="AD28" s="4">
        <f t="shared" si="34"/>
        <v>15131.160862997011</v>
      </c>
      <c r="AE28" s="4">
        <f t="shared" si="34"/>
        <v>15282.472471626981</v>
      </c>
      <c r="AF28" s="4">
        <f t="shared" si="34"/>
        <v>15435.297196343252</v>
      </c>
      <c r="AG28" s="4">
        <f t="shared" si="34"/>
        <v>15589.650168306685</v>
      </c>
      <c r="AH28" s="4">
        <f t="shared" si="34"/>
        <v>15745.546669989752</v>
      </c>
      <c r="AI28" s="4">
        <f t="shared" si="34"/>
        <v>15903.002136689649</v>
      </c>
      <c r="AJ28" s="4">
        <f t="shared" si="34"/>
        <v>16062.032158056545</v>
      </c>
      <c r="AK28" s="4">
        <f t="shared" si="34"/>
        <v>16222.65247963711</v>
      </c>
      <c r="AL28" s="4">
        <f t="shared" si="34"/>
        <v>16384.879004433482</v>
      </c>
      <c r="AM28" s="4">
        <f t="shared" si="34"/>
        <v>16548.727794477818</v>
      </c>
      <c r="AN28" s="4">
        <f t="shared" si="34"/>
        <v>16714.215072422598</v>
      </c>
      <c r="AO28" s="4">
        <f t="shared" si="34"/>
        <v>16881.357223146824</v>
      </c>
      <c r="AP28" s="4">
        <f t="shared" si="34"/>
        <v>17050.170795378293</v>
      </c>
      <c r="AQ28" s="4">
        <f t="shared" si="34"/>
        <v>17220.672503332076</v>
      </c>
      <c r="AR28" s="4">
        <f t="shared" si="34"/>
        <v>17392.879228365397</v>
      </c>
      <c r="AS28" s="4">
        <f t="shared" si="34"/>
        <v>17566.808020649052</v>
      </c>
      <c r="AT28" s="4">
        <f t="shared" si="34"/>
        <v>17742.476100855543</v>
      </c>
      <c r="AU28" s="4">
        <f t="shared" si="34"/>
        <v>17919.900861864098</v>
      </c>
      <c r="AV28" s="4">
        <f t="shared" si="34"/>
        <v>18099.09987048274</v>
      </c>
      <c r="AW28" s="4">
        <f t="shared" si="34"/>
        <v>18280.090869187567</v>
      </c>
      <c r="AX28" s="4">
        <f t="shared" si="34"/>
        <v>18462.891777879442</v>
      </c>
      <c r="AY28" s="4">
        <f t="shared" si="34"/>
        <v>18647.520695658237</v>
      </c>
      <c r="AZ28" s="4">
        <f t="shared" ref="AZ28:CE28" si="35">AY28*(1+$V$18)</f>
        <v>18833.995902614821</v>
      </c>
      <c r="BA28" s="4">
        <f t="shared" si="35"/>
        <v>19022.335861640968</v>
      </c>
      <c r="BB28" s="4">
        <f t="shared" si="35"/>
        <v>19212.559220257379</v>
      </c>
      <c r="BC28" s="4">
        <f t="shared" si="35"/>
        <v>19404.684812459953</v>
      </c>
      <c r="BD28" s="4">
        <f t="shared" si="35"/>
        <v>19598.731660584552</v>
      </c>
      <c r="BE28" s="4">
        <f t="shared" si="35"/>
        <v>19794.718977190398</v>
      </c>
      <c r="BF28" s="4">
        <f t="shared" si="35"/>
        <v>19992.666166962303</v>
      </c>
      <c r="BG28" s="4">
        <f t="shared" si="35"/>
        <v>20192.592828631925</v>
      </c>
      <c r="BH28" s="4">
        <f t="shared" si="35"/>
        <v>20394.518756918245</v>
      </c>
      <c r="BI28" s="4">
        <f t="shared" si="35"/>
        <v>20598.463944487426</v>
      </c>
      <c r="BJ28" s="4">
        <f t="shared" si="35"/>
        <v>20804.448583932302</v>
      </c>
      <c r="BK28" s="4">
        <f t="shared" si="35"/>
        <v>21012.493069771626</v>
      </c>
      <c r="BL28" s="4">
        <f t="shared" si="35"/>
        <v>21222.618000469341</v>
      </c>
      <c r="BM28" s="4">
        <f t="shared" si="35"/>
        <v>21434.844180474036</v>
      </c>
      <c r="BN28" s="4">
        <f t="shared" si="35"/>
        <v>21649.192622278777</v>
      </c>
      <c r="BO28" s="4">
        <f t="shared" si="35"/>
        <v>21865.684548501566</v>
      </c>
      <c r="BP28" s="4">
        <f t="shared" si="35"/>
        <v>22084.341393986582</v>
      </c>
      <c r="BQ28" s="4">
        <f t="shared" si="35"/>
        <v>22305.184807926449</v>
      </c>
      <c r="BR28" s="4">
        <f t="shared" si="35"/>
        <v>22528.236656005713</v>
      </c>
      <c r="BS28" s="4">
        <f t="shared" si="35"/>
        <v>22753.519022565772</v>
      </c>
      <c r="BT28" s="4">
        <f t="shared" si="35"/>
        <v>22981.05421279143</v>
      </c>
      <c r="BU28" s="4">
        <f t="shared" si="35"/>
        <v>23210.864754919345</v>
      </c>
      <c r="BV28" s="4">
        <f t="shared" si="35"/>
        <v>23442.973402468539</v>
      </c>
      <c r="BW28" s="4">
        <f t="shared" si="35"/>
        <v>23677.403136493223</v>
      </c>
      <c r="BX28" s="4">
        <f t="shared" si="35"/>
        <v>23914.177167858157</v>
      </c>
      <c r="BY28" s="4">
        <f t="shared" si="35"/>
        <v>24153.318939536737</v>
      </c>
      <c r="BZ28" s="4">
        <f t="shared" si="35"/>
        <v>24394.852128932103</v>
      </c>
      <c r="CA28" s="4">
        <f t="shared" si="35"/>
        <v>24638.800650221423</v>
      </c>
      <c r="CB28" s="4">
        <f t="shared" si="35"/>
        <v>24885.188656723636</v>
      </c>
      <c r="CC28" s="4">
        <f t="shared" si="35"/>
        <v>25134.040543290874</v>
      </c>
      <c r="CD28" s="4">
        <f t="shared" si="35"/>
        <v>25385.380948723781</v>
      </c>
      <c r="CE28" s="4">
        <f t="shared" si="35"/>
        <v>25639.23475821102</v>
      </c>
      <c r="CF28" s="4">
        <f t="shared" ref="CF28:DK28" si="36">CE28*(1+$V$18)</f>
        <v>25895.62710579313</v>
      </c>
      <c r="CG28" s="4">
        <f t="shared" si="36"/>
        <v>26154.58337685106</v>
      </c>
      <c r="CH28" s="4">
        <f t="shared" si="36"/>
        <v>26416.129210619572</v>
      </c>
      <c r="CI28" s="4">
        <f t="shared" si="36"/>
        <v>26680.290502725769</v>
      </c>
      <c r="CJ28" s="4">
        <f t="shared" si="36"/>
        <v>26947.093407753026</v>
      </c>
      <c r="CK28" s="4">
        <f t="shared" si="36"/>
        <v>27216.564341830555</v>
      </c>
      <c r="CL28" s="4">
        <f t="shared" si="36"/>
        <v>27488.729985248861</v>
      </c>
      <c r="CM28" s="4">
        <f t="shared" si="36"/>
        <v>27763.617285101351</v>
      </c>
      <c r="CN28" s="4">
        <f t="shared" si="36"/>
        <v>28041.253457952364</v>
      </c>
      <c r="CO28" s="4">
        <f t="shared" si="36"/>
        <v>28321.665992531889</v>
      </c>
      <c r="CP28" s="4">
        <f t="shared" si="36"/>
        <v>28604.882652457207</v>
      </c>
      <c r="CQ28" s="4">
        <f t="shared" si="36"/>
        <v>28890.93147898178</v>
      </c>
      <c r="CR28" s="4">
        <f t="shared" si="36"/>
        <v>29179.840793771597</v>
      </c>
      <c r="CS28" s="4">
        <f t="shared" si="36"/>
        <v>29471.639201709313</v>
      </c>
      <c r="CT28" s="4">
        <f t="shared" si="36"/>
        <v>29766.355593726406</v>
      </c>
      <c r="CU28" s="4">
        <f t="shared" si="36"/>
        <v>30064.019149663669</v>
      </c>
      <c r="CV28" s="4">
        <f t="shared" si="36"/>
        <v>30364.659341160306</v>
      </c>
      <c r="CW28" s="4">
        <f t="shared" si="36"/>
        <v>30668.305934571908</v>
      </c>
      <c r="CX28" s="4">
        <f t="shared" si="36"/>
        <v>30974.988993917628</v>
      </c>
      <c r="CY28" s="4">
        <f t="shared" si="36"/>
        <v>31284.738883856804</v>
      </c>
      <c r="CZ28" s="4">
        <f t="shared" si="36"/>
        <v>31597.586272695371</v>
      </c>
      <c r="DA28" s="4">
        <f t="shared" si="36"/>
        <v>31913.562135422326</v>
      </c>
      <c r="DB28" s="4">
        <f t="shared" si="36"/>
        <v>32232.69775677655</v>
      </c>
      <c r="DC28" s="4">
        <f t="shared" si="36"/>
        <v>32555.024734344315</v>
      </c>
      <c r="DD28" s="4">
        <f t="shared" si="36"/>
        <v>32880.574981687758</v>
      </c>
      <c r="DE28" s="4">
        <f t="shared" si="36"/>
        <v>33209.380731504636</v>
      </c>
      <c r="DF28" s="4">
        <f t="shared" si="36"/>
        <v>33541.474538819682</v>
      </c>
      <c r="DG28" s="4">
        <f t="shared" si="36"/>
        <v>33876.889284207879</v>
      </c>
      <c r="DH28" s="4">
        <f t="shared" si="36"/>
        <v>34215.658177049954</v>
      </c>
      <c r="DI28" s="4">
        <f t="shared" si="36"/>
        <v>34557.814758820452</v>
      </c>
      <c r="DJ28" s="4">
        <f t="shared" si="36"/>
        <v>34903.392906408655</v>
      </c>
      <c r="DK28" s="4">
        <f t="shared" si="36"/>
        <v>35252.426835472739</v>
      </c>
      <c r="DL28" s="4">
        <f t="shared" ref="DL28:DU28" si="37">DK28*(1+$V$18)</f>
        <v>35604.951103827465</v>
      </c>
      <c r="DM28" s="4">
        <f t="shared" si="37"/>
        <v>35961.000614865741</v>
      </c>
      <c r="DN28" s="4">
        <f t="shared" si="37"/>
        <v>36320.610621014399</v>
      </c>
      <c r="DO28" s="4">
        <f t="shared" si="37"/>
        <v>36683.816727224541</v>
      </c>
      <c r="DP28" s="4">
        <f t="shared" si="37"/>
        <v>37050.654894496787</v>
      </c>
      <c r="DQ28" s="4">
        <f t="shared" si="37"/>
        <v>37421.161443441757</v>
      </c>
      <c r="DR28" s="4">
        <f t="shared" si="37"/>
        <v>37795.373057876175</v>
      </c>
      <c r="DS28" s="4">
        <f t="shared" si="37"/>
        <v>38173.326788454935</v>
      </c>
      <c r="DT28" s="4">
        <f t="shared" si="37"/>
        <v>38555.060056339484</v>
      </c>
      <c r="DU28" s="4">
        <f t="shared" si="37"/>
        <v>38940.610656902878</v>
      </c>
    </row>
    <row r="29" spans="1:125" x14ac:dyDescent="0.2">
      <c r="L29" s="7"/>
      <c r="M29" s="7"/>
      <c r="N29" s="7"/>
      <c r="O29" s="7"/>
      <c r="P29" s="7"/>
      <c r="Q29" s="7"/>
      <c r="R29" s="7"/>
      <c r="S29" s="7"/>
    </row>
    <row r="30" spans="1:125" x14ac:dyDescent="0.2">
      <c r="B30" s="2" t="s">
        <v>37</v>
      </c>
      <c r="G30" s="2">
        <f>G32-G34</f>
        <v>7384</v>
      </c>
      <c r="H30" s="2">
        <f>G30+H14</f>
        <v>7384</v>
      </c>
      <c r="I30" s="2">
        <f>H30+I14</f>
        <v>7384</v>
      </c>
      <c r="J30" s="2">
        <f>I30+J14</f>
        <v>7384</v>
      </c>
      <c r="N30" s="2">
        <f>J30</f>
        <v>7384</v>
      </c>
      <c r="O30" s="2">
        <f>N30+O14</f>
        <v>9053.0804110000008</v>
      </c>
      <c r="P30" s="2">
        <f>O30+P14</f>
        <v>11323.152362706704</v>
      </c>
      <c r="Q30" s="2">
        <f>P30+Q14</f>
        <v>14368.093123360506</v>
      </c>
      <c r="R30" s="2">
        <f>Q30+R14</f>
        <v>18406.982244583287</v>
      </c>
      <c r="S30" s="2">
        <f>R30+S14</f>
        <v>23715.224016404929</v>
      </c>
    </row>
    <row r="32" spans="1:125" x14ac:dyDescent="0.2">
      <c r="B32" s="2" t="s">
        <v>4</v>
      </c>
      <c r="G32" s="2">
        <f>5019+2694+146</f>
        <v>7859</v>
      </c>
    </row>
    <row r="34" spans="2:7" x14ac:dyDescent="0.2">
      <c r="B34" s="2" t="s">
        <v>5</v>
      </c>
      <c r="G34" s="2">
        <v>475</v>
      </c>
    </row>
  </sheetData>
  <hyperlinks>
    <hyperlink ref="A1" location="Sheet1!A1" display="Main" xr:uid="{FBD228F3-07A5-46B7-8E29-A43D94EF39A9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2025-05-09T05:46:18Z</dcterms:created>
  <dcterms:modified xsi:type="dcterms:W3CDTF">2025-06-24T22:09:29Z</dcterms:modified>
</cp:coreProperties>
</file>