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DE918750-2C86-4E7F-A573-0C6A7792AA2E}" xr6:coauthVersionLast="47" xr6:coauthVersionMax="47" xr10:uidLastSave="{00000000-0000-0000-0000-000000000000}"/>
  <bookViews>
    <workbookView xWindow="2295" yWindow="285" windowWidth="21945" windowHeight="14610" activeTab="1" xr2:uid="{52031331-66DC-437A-A5A5-33A01B90D35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O6" i="2" s="1"/>
  <c r="P6" i="2" s="1"/>
  <c r="Q6" i="2" s="1"/>
  <c r="R6" i="2" s="1"/>
  <c r="S6" i="2" s="1"/>
  <c r="T6" i="2" s="1"/>
  <c r="U6" i="2" s="1"/>
  <c r="V6" i="2" s="1"/>
  <c r="M6" i="2"/>
  <c r="N3" i="2"/>
  <c r="O3" i="2" s="1"/>
  <c r="P3" i="2" s="1"/>
  <c r="Q3" i="2" s="1"/>
  <c r="R3" i="2" s="1"/>
  <c r="S3" i="2" s="1"/>
  <c r="T3" i="2" s="1"/>
  <c r="U3" i="2" s="1"/>
  <c r="V3" i="2" s="1"/>
  <c r="M3" i="2"/>
  <c r="R7" i="2"/>
  <c r="S7" i="2"/>
  <c r="T7" i="2"/>
  <c r="U7" i="2"/>
  <c r="V7" i="2"/>
  <c r="R14" i="2"/>
  <c r="S14" i="2"/>
  <c r="T14" i="2"/>
  <c r="U14" i="2"/>
  <c r="V14" i="2"/>
  <c r="S2" i="2"/>
  <c r="T2" i="2" s="1"/>
  <c r="U2" i="2" s="1"/>
  <c r="V2" i="2" s="1"/>
  <c r="R2" i="2"/>
  <c r="J11" i="2"/>
  <c r="K11" i="2"/>
  <c r="K13" i="2" s="1"/>
  <c r="K15" i="2" s="1"/>
  <c r="L11" i="2"/>
  <c r="L13" i="2" s="1"/>
  <c r="L15" i="2" s="1"/>
  <c r="J13" i="2"/>
  <c r="J15" i="2" s="1"/>
  <c r="N7" i="2"/>
  <c r="O7" i="2"/>
  <c r="P7" i="2"/>
  <c r="Q7" i="2" s="1"/>
  <c r="M7" i="2"/>
  <c r="M19" i="2"/>
  <c r="L19" i="2"/>
  <c r="K19" i="2"/>
  <c r="M8" i="2"/>
  <c r="K8" i="2"/>
  <c r="L8" i="2"/>
  <c r="J8" i="2"/>
  <c r="K5" i="2"/>
  <c r="K9" i="2" s="1"/>
  <c r="L5" i="2"/>
  <c r="L18" i="2" s="1"/>
  <c r="J5" i="2"/>
  <c r="J9" i="2" s="1"/>
  <c r="K17" i="2"/>
  <c r="L17" i="2"/>
  <c r="K35" i="2"/>
  <c r="K40" i="2" s="1"/>
  <c r="K25" i="2"/>
  <c r="K32" i="2" s="1"/>
  <c r="L37" i="2"/>
  <c r="L35" i="2"/>
  <c r="L21" i="2" s="1"/>
  <c r="M10" i="2" s="1"/>
  <c r="L25" i="2"/>
  <c r="L32" i="2" s="1"/>
  <c r="J21" i="2"/>
  <c r="J40" i="2"/>
  <c r="J32" i="2"/>
  <c r="J41" i="2" s="1"/>
  <c r="N14" i="2"/>
  <c r="O14" i="2" s="1"/>
  <c r="P14" i="2" s="1"/>
  <c r="Q14" i="2" s="1"/>
  <c r="K2" i="2"/>
  <c r="L2" i="2" s="1"/>
  <c r="M2" i="2" s="1"/>
  <c r="N2" i="2" s="1"/>
  <c r="O2" i="2" s="1"/>
  <c r="P2" i="2" s="1"/>
  <c r="Q2" i="2" s="1"/>
  <c r="J7" i="1"/>
  <c r="J6" i="1"/>
  <c r="J8" i="1"/>
  <c r="J5" i="1"/>
  <c r="N8" i="2" l="1"/>
  <c r="N19" i="2"/>
  <c r="R17" i="2"/>
  <c r="R4" i="2"/>
  <c r="R5" i="2" s="1"/>
  <c r="S17" i="2"/>
  <c r="S4" i="2"/>
  <c r="S5" i="2" s="1"/>
  <c r="M4" i="2"/>
  <c r="M17" i="2"/>
  <c r="N4" i="2"/>
  <c r="N5" i="2" s="1"/>
  <c r="N9" i="2" s="1"/>
  <c r="M5" i="2"/>
  <c r="M9" i="2" s="1"/>
  <c r="M11" i="2" s="1"/>
  <c r="M12" i="2" s="1"/>
  <c r="M13" i="2" s="1"/>
  <c r="O8" i="2"/>
  <c r="O19" i="2"/>
  <c r="K41" i="2"/>
  <c r="L40" i="2"/>
  <c r="J18" i="2"/>
  <c r="K21" i="2"/>
  <c r="L9" i="2"/>
  <c r="K18" i="2"/>
  <c r="N17" i="2"/>
  <c r="J42" i="2"/>
  <c r="K42" i="2"/>
  <c r="L41" i="2"/>
  <c r="L42" i="2" s="1"/>
  <c r="T4" i="2" l="1"/>
  <c r="T5" i="2"/>
  <c r="T17" i="2"/>
  <c r="M21" i="2"/>
  <c r="N10" i="2" s="1"/>
  <c r="N11" i="2" s="1"/>
  <c r="M15" i="2"/>
  <c r="P19" i="2"/>
  <c r="P8" i="2"/>
  <c r="O17" i="2"/>
  <c r="O4" i="2"/>
  <c r="O5" i="2" s="1"/>
  <c r="O9" i="2" s="1"/>
  <c r="R8" i="2" l="1"/>
  <c r="R9" i="2" s="1"/>
  <c r="R19" i="2"/>
  <c r="U4" i="2"/>
  <c r="U17" i="2"/>
  <c r="U5" i="2"/>
  <c r="Q8" i="2"/>
  <c r="Q19" i="2"/>
  <c r="P17" i="2"/>
  <c r="P4" i="2"/>
  <c r="P5" i="2" s="1"/>
  <c r="P9" i="2" s="1"/>
  <c r="N12" i="2"/>
  <c r="N13" i="2" s="1"/>
  <c r="S8" i="2" l="1"/>
  <c r="S9" i="2" s="1"/>
  <c r="S19" i="2"/>
  <c r="V17" i="2"/>
  <c r="V4" i="2"/>
  <c r="V5" i="2" s="1"/>
  <c r="N21" i="2"/>
  <c r="O10" i="2" s="1"/>
  <c r="O11" i="2" s="1"/>
  <c r="O12" i="2" s="1"/>
  <c r="O13" i="2" s="1"/>
  <c r="N15" i="2"/>
  <c r="Q17" i="2"/>
  <c r="Q4" i="2"/>
  <c r="Q5" i="2" s="1"/>
  <c r="Q9" i="2" s="1"/>
  <c r="T19" i="2" l="1"/>
  <c r="T8" i="2"/>
  <c r="T9" i="2" s="1"/>
  <c r="O21" i="2"/>
  <c r="P10" i="2" s="1"/>
  <c r="P11" i="2" s="1"/>
  <c r="P12" i="2" s="1"/>
  <c r="P13" i="2" s="1"/>
  <c r="P15" i="2" s="1"/>
  <c r="O15" i="2"/>
  <c r="U19" i="2" l="1"/>
  <c r="U8" i="2"/>
  <c r="U9" i="2" s="1"/>
  <c r="P21" i="2"/>
  <c r="V8" i="2" l="1"/>
  <c r="V9" i="2" s="1"/>
  <c r="V19" i="2"/>
  <c r="Q10" i="2"/>
  <c r="Q11" i="2" s="1"/>
  <c r="Q12" i="2" l="1"/>
  <c r="Q13" i="2" s="1"/>
  <c r="Q15" i="2" l="1"/>
  <c r="Q21" i="2"/>
  <c r="R10" i="2" l="1"/>
  <c r="R11" i="2" s="1"/>
  <c r="R12" i="2" s="1"/>
  <c r="R13" i="2" s="1"/>
  <c r="R15" i="2" s="1"/>
  <c r="R21" i="2" l="1"/>
  <c r="S10" i="2"/>
  <c r="S11" i="2" s="1"/>
  <c r="S12" i="2" s="1"/>
  <c r="S13" i="2" s="1"/>
  <c r="S15" i="2" s="1"/>
  <c r="S21" i="2"/>
  <c r="T10" i="2" l="1"/>
  <c r="T11" i="2" s="1"/>
  <c r="T12" i="2" s="1"/>
  <c r="T13" i="2" s="1"/>
  <c r="T15" i="2" s="1"/>
  <c r="T21" i="2" l="1"/>
  <c r="U10" i="2" l="1"/>
  <c r="U11" i="2" s="1"/>
  <c r="U12" i="2" l="1"/>
  <c r="U13" i="2"/>
  <c r="U15" i="2" l="1"/>
  <c r="U21" i="2"/>
  <c r="V10" i="2" l="1"/>
  <c r="V11" i="2" s="1"/>
  <c r="V12" i="2" l="1"/>
  <c r="V13" i="2"/>
  <c r="V15" i="2" l="1"/>
  <c r="W13" i="2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V21" i="2"/>
  <c r="Y18" i="2" l="1"/>
  <c r="Y19" i="2" s="1"/>
  <c r="Y20" i="2" s="1"/>
</calcChain>
</file>

<file path=xl/sharedStrings.xml><?xml version="1.0" encoding="utf-8"?>
<sst xmlns="http://schemas.openxmlformats.org/spreadsheetml/2006/main" count="61" uniqueCount="56">
  <si>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</si>
  <si>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</si>
  <si>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</si>
  <si>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</si>
  <si>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</si>
  <si>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</si>
  <si>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</si>
  <si>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</si>
  <si>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</si>
  <si>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</si>
  <si>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</si>
  <si>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</si>
  <si>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</si>
  <si>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Revenue</t>
  </si>
  <si>
    <t>COGS</t>
  </si>
  <si>
    <t>Gross Profit</t>
  </si>
  <si>
    <t>SG&amp;A</t>
  </si>
  <si>
    <t>Pre-opening Expenses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</si>
  <si>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</si>
  <si>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</si>
  <si>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</si>
  <si>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</si>
  <si>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</si>
  <si>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</si>
  <si>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</si>
  <si>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</si>
  <si>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Gross Margin</t>
  </si>
  <si>
    <t>Net Cash</t>
  </si>
  <si>
    <t>AR</t>
  </si>
  <si>
    <t>AP</t>
  </si>
  <si>
    <t>CFFO</t>
  </si>
  <si>
    <t>CX</t>
  </si>
  <si>
    <t>FCF</t>
  </si>
  <si>
    <t>Inventories</t>
  </si>
  <si>
    <t>Prepaids</t>
  </si>
  <si>
    <t>Assets</t>
  </si>
  <si>
    <t>PP&amp;E</t>
  </si>
  <si>
    <t>Operating Lease Assets</t>
  </si>
  <si>
    <t>GW</t>
  </si>
  <si>
    <t>Other Intangible Assets</t>
  </si>
  <si>
    <t>Deferred Comp Assets</t>
  </si>
  <si>
    <t>Other</t>
  </si>
  <si>
    <t>Accrued Liablities</t>
  </si>
  <si>
    <t>Deferred Revenue</t>
  </si>
  <si>
    <t>DT</t>
  </si>
  <si>
    <t>Liabilities</t>
  </si>
  <si>
    <t>SE</t>
  </si>
  <si>
    <t>L+SE</t>
  </si>
  <si>
    <t xml:space="preserve">LT Operating Lease </t>
  </si>
  <si>
    <t>ROIC</t>
  </si>
  <si>
    <t>Maturity</t>
  </si>
  <si>
    <t>Discount</t>
  </si>
  <si>
    <t>NPV</t>
  </si>
  <si>
    <t>Share</t>
  </si>
  <si>
    <t>Other LT</t>
  </si>
  <si>
    <t>SG&amp;A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</si>
</sst>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4" fontId="0" fillId="0" borderId="0" xfId="0" applyNumberFormat="1"/>
    <xf numFmtId="3" fontId="2" fillId="0" borderId="0" xfId="1" applyNumberFormat="1"/>
    <xf numFmtId="1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14654</xdr:rowOff>
    </xdr:from>
    <xdr:to>
      <xdr:col>7</xdr:col>
      <xdr:colOff>7327</xdr:colOff>
      <xdr:row>67</xdr:row>
      <xdr:rowOff>80597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2AC73A-2062-F298-C28A-510F98E17088}"/>
            </a:ext>
          </a:extLst>
        </xdr:cNvPr>
        <xdr:cNvCxnSpPr/>
      </xdr:nvCxnSpPr>
      <xdr:spPr>
        <a:xfrm flipH="1">
          <a:off x="4645269" y="14654"/>
          <a:ext cx="7327" cy="81255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7328</xdr:colOff>
      <xdr:row>0</xdr:row>
      <xdr:rowOff>0</xdr:rowOff>
    </xdr:from>
    <xdr:to>
      <xdr:col>12</xdr:col>
      <xdr:colOff>14655</xdr:colOff>
      <xdr:row>67</xdr:row>
      <xdr:rowOff>65943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3A38080-1744-4B18-A3BB-1F24CDC92FC6}"/>
            </a:ext>
          </a:extLst>
        </xdr:cNvPr>
        <xdr:cNvCxnSpPr/>
      </xdr:nvCxnSpPr>
      <xdr:spPr>
        <a:xfrm flipH="1">
          <a:off x="7693270" y="0"/>
          <a:ext cx="7327" cy="81255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3FD1-EE3E-4F67-93FD-0B113AA74622}">
  <dimension ref="I3:K8"/>
  <sheetViews>
    <sheetView zoomScale="115" zoomScaleNormal="115" workbookViewId="0">
      <selection activeCell="J8" sqref="J8"/>
    </sheetView>
  </sheetViews>
  <sheetFormatPr defaultRowHeight="12.75" x14ac:dyDescent="0.2"/>
  <sheetData>
    <row r="3" spans="9:11" x14ac:dyDescent="0.2">
      <c r="I3" t="s">
        <v>0</v>
      </c>
      <c r="J3" s="2">
        <v>467</v>
      </c>
    </row>
    <row r="4" spans="9:11" x14ac:dyDescent="0.2">
      <c r="I4" t="s">
        <v>1</v>
      </c>
      <c r="J4" s="1">
        <v>44.945599999999999</v>
      </c>
      <c r="K4" t="s">
        <v>6</v>
      </c>
    </row>
    <row r="5" spans="9:11" x14ac:dyDescent="0.2">
      <c r="I5" t="s">
        <v>2</v>
      </c>
      <c r="J5" s="1">
        <f>J4*J3</f>
        <v>20989.5952</v>
      </c>
    </row>
    <row r="6" spans="9:11" x14ac:dyDescent="0.2">
      <c r="I6" t="s">
        <v>3</v>
      </c>
      <c r="J6" s="1">
        <f>454.6</f>
        <v>454.6</v>
      </c>
      <c r="K6" t="s">
        <v>6</v>
      </c>
    </row>
    <row r="7" spans="9:11" x14ac:dyDescent="0.2">
      <c r="I7" t="s">
        <v>4</v>
      </c>
      <c r="J7" s="1">
        <f>1689.4+46+57.1</f>
        <v>1792.5</v>
      </c>
      <c r="K7" t="s">
        <v>6</v>
      </c>
    </row>
    <row r="8" spans="9:11" x14ac:dyDescent="0.2">
      <c r="I8" t="s">
        <v>5</v>
      </c>
      <c r="J8" s="1">
        <f>J5+J7-J6</f>
        <v>22327.495200000001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2C9C-FC4E-4807-938E-C1DF53EA6A38}">
  <dimension ref="A1:DK46"/>
  <sheetViews>
    <sheetView tabSelected="1" zoomScale="130" zoomScaleNormal="130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R6" sqref="R6"/>
    </sheetView>
  </sheetViews>
  <sheetFormatPr defaultRowHeight="12.75" x14ac:dyDescent="0.2"/>
  <cols>
    <col min="1" max="1" width="4.5703125" style="1" customWidth="1"/>
    <col min="2" max="2" width="19.42578125" style="1" customWidth="1"/>
    <col min="3" max="16384" width="9.140625" style="1"/>
  </cols>
  <sheetData>
    <row r="1" spans="1:115" x14ac:dyDescent="0.2">
      <c r="A1" s="3" t="s">
        <v>7</v>
      </c>
    </row>
    <row r="2" spans="1:115" x14ac:dyDescent="0.2">
      <c r="C2" s="1" t="s">
        <v>8</v>
      </c>
      <c r="D2" s="1" t="s">
        <v>9</v>
      </c>
      <c r="E2" s="1" t="s">
        <v>10</v>
      </c>
      <c r="F2" s="1" t="s">
        <v>11</v>
      </c>
      <c r="G2" s="1" t="s">
        <v>6</v>
      </c>
      <c r="H2" s="1" t="s">
        <v>12</v>
      </c>
      <c r="J2" s="4">
        <v>2022</v>
      </c>
      <c r="K2" s="4">
        <f>J2+1</f>
        <v>2023</v>
      </c>
      <c r="L2" s="4">
        <f t="shared" ref="L2:R2" si="0">K2+1</f>
        <v>2024</v>
      </c>
      <c r="M2" s="4">
        <f t="shared" si="0"/>
        <v>2025</v>
      </c>
      <c r="N2" s="4">
        <f t="shared" si="0"/>
        <v>2026</v>
      </c>
      <c r="O2" s="4">
        <f t="shared" si="0"/>
        <v>2027</v>
      </c>
      <c r="P2" s="4">
        <f t="shared" si="0"/>
        <v>2028</v>
      </c>
      <c r="Q2" s="4">
        <f t="shared" si="0"/>
        <v>2029</v>
      </c>
      <c r="R2" s="4">
        <f t="shared" si="0"/>
        <v>2030</v>
      </c>
      <c r="S2" s="4">
        <f t="shared" ref="S2" si="1">R2+1</f>
        <v>2031</v>
      </c>
      <c r="T2" s="4">
        <f t="shared" ref="T2" si="2">S2+1</f>
        <v>2032</v>
      </c>
      <c r="U2" s="4">
        <f t="shared" ref="U2" si="3">T2+1</f>
        <v>2033</v>
      </c>
      <c r="V2" s="4">
        <f t="shared" ref="V2" si="4">U2+1</f>
        <v>2034</v>
      </c>
    </row>
    <row r="3" spans="1:115" s="5" customFormat="1" x14ac:dyDescent="0.2">
      <c r="A3" s="1"/>
      <c r="B3" s="5" t="s">
        <v>13</v>
      </c>
      <c r="J3" s="5">
        <v>10208.6</v>
      </c>
      <c r="K3" s="5">
        <v>11207.3</v>
      </c>
      <c r="L3" s="5">
        <v>11296.65</v>
      </c>
      <c r="M3" s="5">
        <f>L3*1.035</f>
        <v>11692.032749999998</v>
      </c>
      <c r="N3" s="5">
        <f t="shared" ref="N3:V3" si="5">M3*1.035</f>
        <v>12101.253896249997</v>
      </c>
      <c r="O3" s="5">
        <f t="shared" si="5"/>
        <v>12524.797782618745</v>
      </c>
      <c r="P3" s="5">
        <f t="shared" si="5"/>
        <v>12963.1657050104</v>
      </c>
      <c r="Q3" s="5">
        <f t="shared" si="5"/>
        <v>13416.876504685764</v>
      </c>
      <c r="R3" s="5">
        <f t="shared" si="5"/>
        <v>13886.467182349765</v>
      </c>
      <c r="S3" s="5">
        <f t="shared" si="5"/>
        <v>14372.493533732006</v>
      </c>
      <c r="T3" s="5">
        <f t="shared" si="5"/>
        <v>14875.530807412624</v>
      </c>
      <c r="U3" s="5">
        <f t="shared" si="5"/>
        <v>15396.174385672064</v>
      </c>
      <c r="V3" s="5">
        <f t="shared" si="5"/>
        <v>15935.040489170586</v>
      </c>
    </row>
    <row r="4" spans="1:115" x14ac:dyDescent="0.2">
      <c r="B4" s="1" t="s">
        <v>14</v>
      </c>
      <c r="J4" s="1">
        <v>6164</v>
      </c>
      <c r="K4" s="1">
        <v>6826.2</v>
      </c>
      <c r="L4" s="1">
        <v>6908.4</v>
      </c>
      <c r="M4" s="1">
        <f>M3*(1-M18)</f>
        <v>7015.2196499999991</v>
      </c>
      <c r="N4" s="1">
        <f t="shared" ref="N4:Q4" si="6">N3*(1-N18)</f>
        <v>7260.7523377499974</v>
      </c>
      <c r="O4" s="1">
        <f t="shared" si="6"/>
        <v>7514.878669571247</v>
      </c>
      <c r="P4" s="1">
        <f t="shared" si="6"/>
        <v>7777.8994230062399</v>
      </c>
      <c r="Q4" s="1">
        <f t="shared" si="6"/>
        <v>8050.1259028114582</v>
      </c>
      <c r="R4" s="1">
        <f t="shared" ref="R4:V4" si="7">R3*(1-R18)</f>
        <v>8331.8803094098585</v>
      </c>
      <c r="S4" s="1">
        <f t="shared" si="7"/>
        <v>8623.4961202392024</v>
      </c>
      <c r="T4" s="1">
        <f t="shared" si="7"/>
        <v>8925.3184844475745</v>
      </c>
      <c r="U4" s="1">
        <f t="shared" si="7"/>
        <v>9237.7046314032377</v>
      </c>
      <c r="V4" s="1">
        <f t="shared" si="7"/>
        <v>9561.0242935023507</v>
      </c>
    </row>
    <row r="5" spans="1:115" x14ac:dyDescent="0.2">
      <c r="B5" s="1" t="s">
        <v>15</v>
      </c>
      <c r="J5" s="1">
        <f>J3-J4</f>
        <v>4044.6000000000004</v>
      </c>
      <c r="K5" s="1">
        <f t="shared" ref="K5:L5" si="8">K3-K4</f>
        <v>4381.0999999999995</v>
      </c>
      <c r="L5" s="1">
        <f t="shared" si="8"/>
        <v>4388.25</v>
      </c>
      <c r="M5" s="1">
        <f t="shared" ref="M5" si="9">M3-M4</f>
        <v>4676.8130999999994</v>
      </c>
      <c r="N5" s="1">
        <f t="shared" ref="N5" si="10">N3-N4</f>
        <v>4840.5015584999992</v>
      </c>
      <c r="O5" s="1">
        <f t="shared" ref="O5" si="11">O3-O4</f>
        <v>5009.9191130474983</v>
      </c>
      <c r="P5" s="1">
        <f t="shared" ref="P5" si="12">P3-P4</f>
        <v>5185.2662820041605</v>
      </c>
      <c r="Q5" s="1">
        <f t="shared" ref="Q5:V5" si="13">Q3-Q4</f>
        <v>5366.7506018743061</v>
      </c>
      <c r="R5" s="1">
        <f t="shared" si="13"/>
        <v>5554.5868729399062</v>
      </c>
      <c r="S5" s="1">
        <f t="shared" si="13"/>
        <v>5748.9974134928034</v>
      </c>
      <c r="T5" s="1">
        <f t="shared" si="13"/>
        <v>5950.2123229650497</v>
      </c>
      <c r="U5" s="1">
        <f t="shared" si="13"/>
        <v>6158.4697542688264</v>
      </c>
      <c r="V5" s="1">
        <f t="shared" si="13"/>
        <v>6374.016195668235</v>
      </c>
    </row>
    <row r="6" spans="1:115" x14ac:dyDescent="0.2">
      <c r="B6" s="1" t="s">
        <v>16</v>
      </c>
      <c r="J6" s="1">
        <v>2395.3000000000002</v>
      </c>
      <c r="K6" s="1">
        <v>2694.6</v>
      </c>
      <c r="L6" s="1">
        <v>2808.6</v>
      </c>
      <c r="M6" s="1">
        <f>L6*1.04</f>
        <v>2920.944</v>
      </c>
      <c r="N6" s="1">
        <f t="shared" ref="N6:V6" si="14">M6*1.04</f>
        <v>3037.7817599999998</v>
      </c>
      <c r="O6" s="1">
        <f t="shared" si="14"/>
        <v>3159.2930304000001</v>
      </c>
      <c r="P6" s="1">
        <f t="shared" si="14"/>
        <v>3285.6647516160001</v>
      </c>
      <c r="Q6" s="1">
        <f t="shared" si="14"/>
        <v>3417.0913416806402</v>
      </c>
      <c r="R6" s="1">
        <f t="shared" si="14"/>
        <v>3553.774995347866</v>
      </c>
      <c r="S6" s="1">
        <f t="shared" si="14"/>
        <v>3695.925995161781</v>
      </c>
      <c r="T6" s="1">
        <f t="shared" si="14"/>
        <v>3843.7630349682522</v>
      </c>
      <c r="U6" s="1">
        <f t="shared" si="14"/>
        <v>3997.5135563669824</v>
      </c>
      <c r="V6" s="1">
        <f t="shared" si="14"/>
        <v>4157.4140986216617</v>
      </c>
    </row>
    <row r="7" spans="1:115" x14ac:dyDescent="0.2">
      <c r="B7" s="1" t="s">
        <v>17</v>
      </c>
      <c r="J7" s="1">
        <v>10.6</v>
      </c>
      <c r="K7" s="1">
        <v>8.5</v>
      </c>
      <c r="L7" s="1">
        <v>13.7</v>
      </c>
      <c r="M7" s="1">
        <f>L7*1.04</f>
        <v>14.247999999999999</v>
      </c>
      <c r="N7" s="1">
        <f t="shared" ref="N7:Q7" si="15">M7*1.04</f>
        <v>14.817919999999999</v>
      </c>
      <c r="O7" s="1">
        <f t="shared" si="15"/>
        <v>15.410636799999999</v>
      </c>
      <c r="P7" s="1">
        <f t="shared" si="15"/>
        <v>16.027062271999998</v>
      </c>
      <c r="Q7" s="1">
        <f t="shared" si="15"/>
        <v>16.668144762879997</v>
      </c>
      <c r="R7" s="1">
        <f t="shared" ref="R7" si="16">Q7*1.04</f>
        <v>17.334870553395199</v>
      </c>
      <c r="S7" s="1">
        <f t="shared" ref="S7" si="17">R7*1.04</f>
        <v>18.028265375531006</v>
      </c>
      <c r="T7" s="1">
        <f t="shared" ref="T7" si="18">S7*1.04</f>
        <v>18.749395990552248</v>
      </c>
      <c r="U7" s="1">
        <f t="shared" ref="U7" si="19">T7*1.04</f>
        <v>19.49937183017434</v>
      </c>
      <c r="V7" s="1">
        <f t="shared" ref="V7" si="20">U7*1.04</f>
        <v>20.279346703381314</v>
      </c>
    </row>
    <row r="8" spans="1:115" x14ac:dyDescent="0.2">
      <c r="B8" s="1" t="s">
        <v>18</v>
      </c>
      <c r="J8" s="1">
        <f>SUM(J6:J7)</f>
        <v>2405.9</v>
      </c>
      <c r="K8" s="1">
        <f t="shared" ref="K8:L8" si="21">SUM(K6:K7)</f>
        <v>2703.1</v>
      </c>
      <c r="L8" s="1">
        <f t="shared" si="21"/>
        <v>2822.2999999999997</v>
      </c>
      <c r="M8" s="1">
        <f t="shared" ref="M8" si="22">SUM(M6:M7)</f>
        <v>2935.192</v>
      </c>
      <c r="N8" s="1">
        <f t="shared" ref="N8" si="23">SUM(N6:N7)</f>
        <v>3052.5996799999998</v>
      </c>
      <c r="O8" s="1">
        <f t="shared" ref="O8" si="24">SUM(O6:O7)</f>
        <v>3174.7036671999999</v>
      </c>
      <c r="P8" s="1">
        <f t="shared" ref="P8" si="25">SUM(P6:P7)</f>
        <v>3301.6918138880001</v>
      </c>
      <c r="Q8" s="1">
        <f t="shared" ref="Q8:V8" si="26">SUM(Q6:Q7)</f>
        <v>3433.75948644352</v>
      </c>
      <c r="R8" s="1">
        <f t="shared" si="26"/>
        <v>3571.1098659012614</v>
      </c>
      <c r="S8" s="1">
        <f t="shared" si="26"/>
        <v>3713.9542605373122</v>
      </c>
      <c r="T8" s="1">
        <f t="shared" si="26"/>
        <v>3862.5124309588045</v>
      </c>
      <c r="U8" s="1">
        <f t="shared" si="26"/>
        <v>4017.0129281971567</v>
      </c>
      <c r="V8" s="1">
        <f t="shared" si="26"/>
        <v>4177.6934453250433</v>
      </c>
    </row>
    <row r="9" spans="1:115" x14ac:dyDescent="0.2">
      <c r="B9" s="1" t="s">
        <v>19</v>
      </c>
      <c r="J9" s="1">
        <f>J5-J8</f>
        <v>1638.7000000000003</v>
      </c>
      <c r="K9" s="1">
        <f t="shared" ref="K9:Q9" si="27">K5-K8</f>
        <v>1677.9999999999995</v>
      </c>
      <c r="L9" s="1">
        <f t="shared" si="27"/>
        <v>1565.9500000000003</v>
      </c>
      <c r="M9" s="1">
        <f t="shared" si="27"/>
        <v>1741.6210999999994</v>
      </c>
      <c r="N9" s="1">
        <f t="shared" si="27"/>
        <v>1787.9018784999994</v>
      </c>
      <c r="O9" s="1">
        <f t="shared" si="27"/>
        <v>1835.2154458474984</v>
      </c>
      <c r="P9" s="1">
        <f t="shared" si="27"/>
        <v>1883.5744681161605</v>
      </c>
      <c r="Q9" s="1">
        <f t="shared" si="27"/>
        <v>1932.9911154307861</v>
      </c>
      <c r="R9" s="1">
        <f t="shared" ref="R9:V9" si="28">R5-R8</f>
        <v>1983.4770070386448</v>
      </c>
      <c r="S9" s="1">
        <f t="shared" si="28"/>
        <v>2035.0431529554912</v>
      </c>
      <c r="T9" s="1">
        <f t="shared" si="28"/>
        <v>2087.6998920062451</v>
      </c>
      <c r="U9" s="1">
        <f t="shared" si="28"/>
        <v>2141.4568260716696</v>
      </c>
      <c r="V9" s="1">
        <f t="shared" si="28"/>
        <v>2196.3227503431917</v>
      </c>
    </row>
    <row r="10" spans="1:115" x14ac:dyDescent="0.2">
      <c r="B10" s="1" t="s">
        <v>20</v>
      </c>
      <c r="M10" s="1">
        <f t="shared" ref="M10:V10" si="29">L21*$Y$15</f>
        <v>-42.95</v>
      </c>
      <c r="N10" s="1">
        <f t="shared" si="29"/>
        <v>-15.77126240000001</v>
      </c>
      <c r="O10" s="1">
        <f t="shared" si="29"/>
        <v>12.582827457599979</v>
      </c>
      <c r="P10" s="1">
        <f t="shared" si="29"/>
        <v>42.147599830481553</v>
      </c>
      <c r="Q10" s="1">
        <f t="shared" si="29"/>
        <v>72.959152917627819</v>
      </c>
      <c r="R10" s="1">
        <f t="shared" si="29"/>
        <v>105.05435721120244</v>
      </c>
      <c r="S10" s="1">
        <f t="shared" si="29"/>
        <v>138.47085903920001</v>
      </c>
      <c r="T10" s="1">
        <f t="shared" si="29"/>
        <v>173.24708323111506</v>
      </c>
      <c r="U10" s="1">
        <f t="shared" si="29"/>
        <v>209.42223483491281</v>
      </c>
      <c r="V10" s="1">
        <f t="shared" si="29"/>
        <v>247.03629980941813</v>
      </c>
    </row>
    <row r="11" spans="1:115" x14ac:dyDescent="0.2">
      <c r="B11" s="1" t="s">
        <v>21</v>
      </c>
      <c r="J11" s="1">
        <f>J9+J10</f>
        <v>1638.7000000000003</v>
      </c>
      <c r="K11" s="1">
        <f>K9+K10</f>
        <v>1677.9999999999995</v>
      </c>
      <c r="L11" s="1">
        <f>L9+L10</f>
        <v>1565.9500000000003</v>
      </c>
      <c r="M11" s="1">
        <f>M9+M10</f>
        <v>1698.6710999999993</v>
      </c>
      <c r="N11" s="1">
        <f t="shared" ref="N11:Q11" si="30">N9+N10</f>
        <v>1772.1306160999993</v>
      </c>
      <c r="O11" s="1">
        <f t="shared" si="30"/>
        <v>1847.7982733050983</v>
      </c>
      <c r="P11" s="1">
        <f t="shared" si="30"/>
        <v>1925.722067946642</v>
      </c>
      <c r="Q11" s="1">
        <f t="shared" si="30"/>
        <v>2005.9502683484138</v>
      </c>
      <c r="R11" s="1">
        <f t="shared" ref="R11:V11" si="31">R9+R10</f>
        <v>2088.5313642498472</v>
      </c>
      <c r="S11" s="1">
        <f t="shared" si="31"/>
        <v>2173.5140119946914</v>
      </c>
      <c r="T11" s="1">
        <f t="shared" si="31"/>
        <v>2260.9469752373602</v>
      </c>
      <c r="U11" s="1">
        <f t="shared" si="31"/>
        <v>2350.8790609065823</v>
      </c>
      <c r="V11" s="1">
        <f t="shared" si="31"/>
        <v>2443.3590501526101</v>
      </c>
    </row>
    <row r="12" spans="1:115" x14ac:dyDescent="0.2">
      <c r="B12" s="1" t="s">
        <v>22</v>
      </c>
      <c r="J12" s="1">
        <v>401.1</v>
      </c>
      <c r="K12" s="1">
        <v>404.65</v>
      </c>
      <c r="L12" s="1">
        <v>378.95</v>
      </c>
      <c r="M12" s="1">
        <f>M11*0.2</f>
        <v>339.73421999999988</v>
      </c>
      <c r="N12" s="1">
        <f t="shared" ref="N12:Q12" si="32">N11*0.2</f>
        <v>354.42612321999991</v>
      </c>
      <c r="O12" s="1">
        <f t="shared" si="32"/>
        <v>369.55965466101969</v>
      </c>
      <c r="P12" s="1">
        <f t="shared" si="32"/>
        <v>385.14441358932845</v>
      </c>
      <c r="Q12" s="1">
        <f t="shared" si="32"/>
        <v>401.19005366968281</v>
      </c>
      <c r="R12" s="1">
        <f t="shared" ref="R12:V12" si="33">R11*0.2</f>
        <v>417.70627284996948</v>
      </c>
      <c r="S12" s="1">
        <f t="shared" si="33"/>
        <v>434.70280239893827</v>
      </c>
      <c r="T12" s="1">
        <f t="shared" si="33"/>
        <v>452.18939504747209</v>
      </c>
      <c r="U12" s="1">
        <f t="shared" si="33"/>
        <v>470.17581218131647</v>
      </c>
      <c r="V12" s="1">
        <f t="shared" si="33"/>
        <v>488.67181003052201</v>
      </c>
    </row>
    <row r="13" spans="1:115" x14ac:dyDescent="0.2">
      <c r="B13" s="1" t="s">
        <v>23</v>
      </c>
      <c r="J13" s="1">
        <f>J11-J12</f>
        <v>1237.6000000000004</v>
      </c>
      <c r="K13" s="1">
        <f>K11-K12</f>
        <v>1273.3499999999995</v>
      </c>
      <c r="L13" s="1">
        <f>L11-L12</f>
        <v>1187.0000000000002</v>
      </c>
      <c r="M13" s="1">
        <f>M11-M12</f>
        <v>1358.9368799999995</v>
      </c>
      <c r="N13" s="1">
        <f t="shared" ref="N13:Q13" si="34">N11-N12</f>
        <v>1417.7044928799994</v>
      </c>
      <c r="O13" s="1">
        <f t="shared" si="34"/>
        <v>1478.2386186440785</v>
      </c>
      <c r="P13" s="1">
        <f t="shared" si="34"/>
        <v>1540.5776543573136</v>
      </c>
      <c r="Q13" s="1">
        <f t="shared" si="34"/>
        <v>1604.760214678731</v>
      </c>
      <c r="R13" s="1">
        <f t="shared" ref="R13:V13" si="35">R11-R12</f>
        <v>1670.8250913998777</v>
      </c>
      <c r="S13" s="1">
        <f t="shared" si="35"/>
        <v>1738.8112095957531</v>
      </c>
      <c r="T13" s="1">
        <f t="shared" si="35"/>
        <v>1808.7575801898881</v>
      </c>
      <c r="U13" s="1">
        <f t="shared" si="35"/>
        <v>1880.7032487252659</v>
      </c>
      <c r="V13" s="1">
        <f t="shared" si="35"/>
        <v>1954.687240122088</v>
      </c>
      <c r="W13" s="1">
        <f t="shared" ref="W13:BB13" si="36">V13*(1+$Y$16)</f>
        <v>1974.234112523309</v>
      </c>
      <c r="X13" s="1">
        <f t="shared" si="36"/>
        <v>1993.976453648542</v>
      </c>
      <c r="Y13" s="1">
        <f t="shared" si="36"/>
        <v>2013.9162181850274</v>
      </c>
      <c r="Z13" s="1">
        <f t="shared" si="36"/>
        <v>2034.0553803668777</v>
      </c>
      <c r="AA13" s="1">
        <f t="shared" si="36"/>
        <v>2054.3959341705463</v>
      </c>
      <c r="AB13" s="1">
        <f t="shared" si="36"/>
        <v>2074.9398935122517</v>
      </c>
      <c r="AC13" s="1">
        <f t="shared" si="36"/>
        <v>2095.6892924473741</v>
      </c>
      <c r="AD13" s="1">
        <f t="shared" si="36"/>
        <v>2116.6461853718479</v>
      </c>
      <c r="AE13" s="1">
        <f t="shared" si="36"/>
        <v>2137.8126472255663</v>
      </c>
      <c r="AF13" s="1">
        <f t="shared" si="36"/>
        <v>2159.1907736978219</v>
      </c>
      <c r="AG13" s="1">
        <f t="shared" si="36"/>
        <v>2180.7826814348</v>
      </c>
      <c r="AH13" s="1">
        <f t="shared" si="36"/>
        <v>2202.5905082491481</v>
      </c>
      <c r="AI13" s="1">
        <f t="shared" si="36"/>
        <v>2224.6164133316397</v>
      </c>
      <c r="AJ13" s="1">
        <f t="shared" si="36"/>
        <v>2246.8625774649563</v>
      </c>
      <c r="AK13" s="1">
        <f t="shared" si="36"/>
        <v>2269.3312032396061</v>
      </c>
      <c r="AL13" s="1">
        <f t="shared" si="36"/>
        <v>2292.0245152720022</v>
      </c>
      <c r="AM13" s="1">
        <f t="shared" si="36"/>
        <v>2314.9447604247221</v>
      </c>
      <c r="AN13" s="1">
        <f t="shared" si="36"/>
        <v>2338.0942080289692</v>
      </c>
      <c r="AO13" s="1">
        <f t="shared" si="36"/>
        <v>2361.4751501092587</v>
      </c>
      <c r="AP13" s="1">
        <f t="shared" si="36"/>
        <v>2385.0899016103513</v>
      </c>
      <c r="AQ13" s="1">
        <f t="shared" si="36"/>
        <v>2408.9408006264548</v>
      </c>
      <c r="AR13" s="1">
        <f t="shared" si="36"/>
        <v>2433.0302086327192</v>
      </c>
      <c r="AS13" s="1">
        <f t="shared" si="36"/>
        <v>2457.3605107190465</v>
      </c>
      <c r="AT13" s="1">
        <f t="shared" si="36"/>
        <v>2481.9341158262368</v>
      </c>
      <c r="AU13" s="1">
        <f t="shared" si="36"/>
        <v>2506.7534569844993</v>
      </c>
      <c r="AV13" s="1">
        <f t="shared" si="36"/>
        <v>2531.8209915543443</v>
      </c>
      <c r="AW13" s="1">
        <f t="shared" si="36"/>
        <v>2557.1392014698877</v>
      </c>
      <c r="AX13" s="1">
        <f t="shared" si="36"/>
        <v>2582.7105934845868</v>
      </c>
      <c r="AY13" s="1">
        <f t="shared" si="36"/>
        <v>2608.5376994194326</v>
      </c>
      <c r="AZ13" s="1">
        <f t="shared" si="36"/>
        <v>2634.6230764136271</v>
      </c>
      <c r="BA13" s="1">
        <f t="shared" si="36"/>
        <v>2660.9693071777633</v>
      </c>
      <c r="BB13" s="1">
        <f t="shared" si="36"/>
        <v>2687.579000249541</v>
      </c>
      <c r="BC13" s="1">
        <f t="shared" ref="BC13:CH13" si="37">BB13*(1+$Y$16)</f>
        <v>2714.4547902520362</v>
      </c>
      <c r="BD13" s="1">
        <f t="shared" si="37"/>
        <v>2741.5993381545568</v>
      </c>
      <c r="BE13" s="1">
        <f t="shared" si="37"/>
        <v>2769.0153315361022</v>
      </c>
      <c r="BF13" s="1">
        <f t="shared" si="37"/>
        <v>2796.7054848514631</v>
      </c>
      <c r="BG13" s="1">
        <f t="shared" si="37"/>
        <v>2824.6725396999777</v>
      </c>
      <c r="BH13" s="1">
        <f t="shared" si="37"/>
        <v>2852.9192650969776</v>
      </c>
      <c r="BI13" s="1">
        <f t="shared" si="37"/>
        <v>2881.4484577479475</v>
      </c>
      <c r="BJ13" s="1">
        <f t="shared" si="37"/>
        <v>2910.262942325427</v>
      </c>
      <c r="BK13" s="1">
        <f t="shared" si="37"/>
        <v>2939.3655717486813</v>
      </c>
      <c r="BL13" s="1">
        <f t="shared" si="37"/>
        <v>2968.7592274661683</v>
      </c>
      <c r="BM13" s="1">
        <f t="shared" si="37"/>
        <v>2998.4468197408301</v>
      </c>
      <c r="BN13" s="1">
        <f t="shared" si="37"/>
        <v>3028.4312879382383</v>
      </c>
      <c r="BO13" s="1">
        <f t="shared" si="37"/>
        <v>3058.7156008176207</v>
      </c>
      <c r="BP13" s="1">
        <f t="shared" si="37"/>
        <v>3089.3027568257971</v>
      </c>
      <c r="BQ13" s="1">
        <f t="shared" si="37"/>
        <v>3120.195784394055</v>
      </c>
      <c r="BR13" s="1">
        <f t="shared" si="37"/>
        <v>3151.3977422379953</v>
      </c>
      <c r="BS13" s="1">
        <f t="shared" si="37"/>
        <v>3182.9117196603752</v>
      </c>
      <c r="BT13" s="1">
        <f t="shared" si="37"/>
        <v>3214.7408368569791</v>
      </c>
      <c r="BU13" s="1">
        <f t="shared" si="37"/>
        <v>3246.8882452255489</v>
      </c>
      <c r="BV13" s="1">
        <f t="shared" si="37"/>
        <v>3279.3571276778043</v>
      </c>
      <c r="BW13" s="1">
        <f t="shared" si="37"/>
        <v>3312.1506989545824</v>
      </c>
      <c r="BX13" s="1">
        <f t="shared" si="37"/>
        <v>3345.272205944128</v>
      </c>
      <c r="BY13" s="1">
        <f t="shared" si="37"/>
        <v>3378.7249280035694</v>
      </c>
      <c r="BZ13" s="1">
        <f t="shared" si="37"/>
        <v>3412.5121772836051</v>
      </c>
      <c r="CA13" s="1">
        <f t="shared" si="37"/>
        <v>3446.637299056441</v>
      </c>
      <c r="CB13" s="1">
        <f t="shared" si="37"/>
        <v>3481.1036720470056</v>
      </c>
      <c r="CC13" s="1">
        <f t="shared" si="37"/>
        <v>3515.9147087674755</v>
      </c>
      <c r="CD13" s="1">
        <f t="shared" si="37"/>
        <v>3551.0738558551502</v>
      </c>
      <c r="CE13" s="1">
        <f t="shared" si="37"/>
        <v>3586.5845944137018</v>
      </c>
      <c r="CF13" s="1">
        <f t="shared" si="37"/>
        <v>3622.4504403578389</v>
      </c>
      <c r="CG13" s="1">
        <f t="shared" si="37"/>
        <v>3658.6749447614175</v>
      </c>
      <c r="CH13" s="1">
        <f t="shared" si="37"/>
        <v>3695.2616942090317</v>
      </c>
      <c r="CI13" s="1">
        <f t="shared" ref="CI13:DK13" si="38">CH13*(1+$Y$16)</f>
        <v>3732.2143111511223</v>
      </c>
      <c r="CJ13" s="1">
        <f t="shared" si="38"/>
        <v>3769.5364542626335</v>
      </c>
      <c r="CK13" s="1">
        <f t="shared" si="38"/>
        <v>3807.23181880526</v>
      </c>
      <c r="CL13" s="1">
        <f t="shared" si="38"/>
        <v>3845.3041369933126</v>
      </c>
      <c r="CM13" s="1">
        <f t="shared" si="38"/>
        <v>3883.7571783632457</v>
      </c>
      <c r="CN13" s="1">
        <f t="shared" si="38"/>
        <v>3922.5947501468781</v>
      </c>
      <c r="CO13" s="1">
        <f t="shared" si="38"/>
        <v>3961.820697648347</v>
      </c>
      <c r="CP13" s="1">
        <f t="shared" si="38"/>
        <v>4001.4389046248307</v>
      </c>
      <c r="CQ13" s="1">
        <f t="shared" si="38"/>
        <v>4041.4532936710789</v>
      </c>
      <c r="CR13" s="1">
        <f t="shared" si="38"/>
        <v>4081.8678266077895</v>
      </c>
      <c r="CS13" s="1">
        <f t="shared" si="38"/>
        <v>4122.6865048738673</v>
      </c>
      <c r="CT13" s="1">
        <f t="shared" si="38"/>
        <v>4163.9133699226059</v>
      </c>
      <c r="CU13" s="1">
        <f t="shared" si="38"/>
        <v>4205.5525036218323</v>
      </c>
      <c r="CV13" s="1">
        <f t="shared" si="38"/>
        <v>4247.6080286580509</v>
      </c>
      <c r="CW13" s="1">
        <f t="shared" si="38"/>
        <v>4290.0841089446312</v>
      </c>
      <c r="CX13" s="1">
        <f t="shared" si="38"/>
        <v>4332.9849500340779</v>
      </c>
      <c r="CY13" s="1">
        <f t="shared" si="38"/>
        <v>4376.3147995344189</v>
      </c>
      <c r="CZ13" s="1">
        <f t="shared" si="38"/>
        <v>4420.0779475297632</v>
      </c>
      <c r="DA13" s="1">
        <f t="shared" si="38"/>
        <v>4464.2787270050612</v>
      </c>
      <c r="DB13" s="1">
        <f t="shared" si="38"/>
        <v>4508.9215142751118</v>
      </c>
      <c r="DC13" s="1">
        <f t="shared" si="38"/>
        <v>4554.0107294178633</v>
      </c>
      <c r="DD13" s="1">
        <f t="shared" si="38"/>
        <v>4599.5508367120419</v>
      </c>
      <c r="DE13" s="1">
        <f t="shared" si="38"/>
        <v>4645.5463450791622</v>
      </c>
      <c r="DF13" s="1">
        <f t="shared" si="38"/>
        <v>4692.0018085299535</v>
      </c>
      <c r="DG13" s="1">
        <f t="shared" si="38"/>
        <v>4738.9218266152529</v>
      </c>
      <c r="DH13" s="1">
        <f t="shared" si="38"/>
        <v>4786.3110448814059</v>
      </c>
      <c r="DI13" s="1">
        <f t="shared" si="38"/>
        <v>4834.1741553302199</v>
      </c>
      <c r="DJ13" s="1">
        <f t="shared" si="38"/>
        <v>4882.5158968835221</v>
      </c>
      <c r="DK13" s="1">
        <f t="shared" si="38"/>
        <v>4931.3410558523574</v>
      </c>
    </row>
    <row r="14" spans="1:115" x14ac:dyDescent="0.2">
      <c r="B14" s="1" t="s">
        <v>1</v>
      </c>
      <c r="J14" s="1">
        <v>51.7</v>
      </c>
      <c r="K14" s="1">
        <v>49.6</v>
      </c>
      <c r="L14" s="1">
        <v>47.4</v>
      </c>
      <c r="M14" s="1">
        <v>45</v>
      </c>
      <c r="N14" s="1">
        <f t="shared" ref="N14:Q14" si="39">M14</f>
        <v>45</v>
      </c>
      <c r="O14" s="1">
        <f t="shared" si="39"/>
        <v>45</v>
      </c>
      <c r="P14" s="1">
        <f t="shared" si="39"/>
        <v>45</v>
      </c>
      <c r="Q14" s="1">
        <f t="shared" si="39"/>
        <v>45</v>
      </c>
      <c r="R14" s="1">
        <f t="shared" ref="R14" si="40">Q14</f>
        <v>45</v>
      </c>
      <c r="S14" s="1">
        <f t="shared" ref="S14" si="41">R14</f>
        <v>45</v>
      </c>
      <c r="T14" s="1">
        <f t="shared" ref="T14" si="42">S14</f>
        <v>45</v>
      </c>
      <c r="U14" s="1">
        <f t="shared" ref="U14" si="43">T14</f>
        <v>45</v>
      </c>
      <c r="V14" s="1">
        <f t="shared" ref="V14" si="44">U14</f>
        <v>45</v>
      </c>
    </row>
    <row r="15" spans="1:115" x14ac:dyDescent="0.2">
      <c r="B15" s="1" t="s">
        <v>24</v>
      </c>
      <c r="J15" s="2">
        <f>J13/J14</f>
        <v>23.938104448742752</v>
      </c>
      <c r="K15" s="2">
        <f>K13/K14</f>
        <v>25.672379032258053</v>
      </c>
      <c r="L15" s="2">
        <f>L13/L14</f>
        <v>25.04219409282701</v>
      </c>
      <c r="M15" s="2">
        <f>M13/M14</f>
        <v>30.198597333333321</v>
      </c>
      <c r="N15" s="2">
        <f t="shared" ref="N15:Q15" si="45">N13/N14</f>
        <v>31.50454428622221</v>
      </c>
      <c r="O15" s="2">
        <f t="shared" si="45"/>
        <v>32.849747080979526</v>
      </c>
      <c r="P15" s="2">
        <f t="shared" si="45"/>
        <v>34.235058985718076</v>
      </c>
      <c r="Q15" s="2">
        <f t="shared" si="45"/>
        <v>35.661338103971801</v>
      </c>
      <c r="R15" s="2">
        <f t="shared" ref="R15:V15" si="46">R13/R14</f>
        <v>37.12944647555284</v>
      </c>
      <c r="S15" s="2">
        <f t="shared" si="46"/>
        <v>38.640249102127846</v>
      </c>
      <c r="T15" s="2">
        <f t="shared" si="46"/>
        <v>40.194612893108626</v>
      </c>
      <c r="U15" s="2">
        <f t="shared" si="46"/>
        <v>41.793405527228131</v>
      </c>
      <c r="V15" s="2">
        <f t="shared" si="46"/>
        <v>43.437494224935293</v>
      </c>
      <c r="X15" s="1" t="s">
        <v>49</v>
      </c>
      <c r="Y15" s="6">
        <v>0.02</v>
      </c>
    </row>
    <row r="16" spans="1:115" x14ac:dyDescent="0.2">
      <c r="X16" s="1" t="s">
        <v>50</v>
      </c>
      <c r="Y16" s="6">
        <v>0.01</v>
      </c>
    </row>
    <row r="17" spans="1:25" s="5" customFormat="1" x14ac:dyDescent="0.2">
      <c r="A17" s="1"/>
      <c r="B17" s="5" t="s">
        <v>25</v>
      </c>
      <c r="K17" s="7">
        <f>K3/J3-1</f>
        <v>9.7829281194287132E-2</v>
      </c>
      <c r="L17" s="7">
        <f>L3/K3-1</f>
        <v>7.9724822214093383E-3</v>
      </c>
      <c r="M17" s="7">
        <f t="shared" ref="M17:Q17" si="47">M3/L3-1</f>
        <v>3.499999999999992E-2</v>
      </c>
      <c r="N17" s="7">
        <f t="shared" si="47"/>
        <v>3.499999999999992E-2</v>
      </c>
      <c r="O17" s="7">
        <f t="shared" si="47"/>
        <v>3.499999999999992E-2</v>
      </c>
      <c r="P17" s="7">
        <f t="shared" si="47"/>
        <v>3.499999999999992E-2</v>
      </c>
      <c r="Q17" s="7">
        <f t="shared" si="47"/>
        <v>3.499999999999992E-2</v>
      </c>
      <c r="R17" s="7">
        <f t="shared" ref="R17" si="48">R3/Q3-1</f>
        <v>3.499999999999992E-2</v>
      </c>
      <c r="S17" s="7">
        <f t="shared" ref="S17" si="49">S3/R3-1</f>
        <v>3.499999999999992E-2</v>
      </c>
      <c r="T17" s="7">
        <f t="shared" ref="T17" si="50">T3/S3-1</f>
        <v>3.499999999999992E-2</v>
      </c>
      <c r="U17" s="7">
        <f t="shared" ref="U17" si="51">U3/T3-1</f>
        <v>3.499999999999992E-2</v>
      </c>
      <c r="V17" s="7">
        <f t="shared" ref="V17" si="52">V3/U3-1</f>
        <v>3.499999999999992E-2</v>
      </c>
      <c r="X17" s="1" t="s">
        <v>51</v>
      </c>
      <c r="Y17" s="6">
        <v>0.08</v>
      </c>
    </row>
    <row r="18" spans="1:25" x14ac:dyDescent="0.2">
      <c r="B18" s="1" t="s">
        <v>26</v>
      </c>
      <c r="J18" s="6">
        <f>J5/J3</f>
        <v>0.39619536469251415</v>
      </c>
      <c r="K18" s="6">
        <f t="shared" ref="K18:L18" si="53">K5/K3</f>
        <v>0.39091485014231792</v>
      </c>
      <c r="L18" s="6">
        <f t="shared" si="53"/>
        <v>0.38845586966047457</v>
      </c>
      <c r="M18" s="6">
        <v>0.4</v>
      </c>
      <c r="N18" s="6">
        <v>0.4</v>
      </c>
      <c r="O18" s="6">
        <v>0.4</v>
      </c>
      <c r="P18" s="6">
        <v>0.4</v>
      </c>
      <c r="Q18" s="6">
        <v>0.4</v>
      </c>
      <c r="R18" s="6">
        <v>0.4</v>
      </c>
      <c r="S18" s="6">
        <v>0.4</v>
      </c>
      <c r="T18" s="6">
        <v>0.4</v>
      </c>
      <c r="U18" s="6">
        <v>0.4</v>
      </c>
      <c r="V18" s="6">
        <v>0.4</v>
      </c>
      <c r="X18" s="1" t="s">
        <v>52</v>
      </c>
      <c r="Y18" s="1">
        <f>NPV(Y17,M13:XFD13)+Main!J6-Main!J7</f>
        <v>22462.690087945281</v>
      </c>
    </row>
    <row r="19" spans="1:25" x14ac:dyDescent="0.2">
      <c r="B19" s="1" t="s">
        <v>55</v>
      </c>
      <c r="J19" s="6"/>
      <c r="K19" s="6">
        <f>K6/J6-1</f>
        <v>0.12495303302300331</v>
      </c>
      <c r="L19" s="6">
        <f>L6/K6-1</f>
        <v>4.2306835894010186E-2</v>
      </c>
      <c r="M19" s="6">
        <f t="shared" ref="M19:Q19" si="54">M6/L6-1</f>
        <v>4.0000000000000036E-2</v>
      </c>
      <c r="N19" s="6">
        <f t="shared" si="54"/>
        <v>4.0000000000000036E-2</v>
      </c>
      <c r="O19" s="6">
        <f t="shared" si="54"/>
        <v>4.0000000000000036E-2</v>
      </c>
      <c r="P19" s="6">
        <f t="shared" si="54"/>
        <v>4.0000000000000036E-2</v>
      </c>
      <c r="Q19" s="6">
        <f t="shared" si="54"/>
        <v>4.0000000000000036E-2</v>
      </c>
      <c r="R19" s="6">
        <f t="shared" ref="R19" si="55">R6/Q6-1</f>
        <v>4.0000000000000036E-2</v>
      </c>
      <c r="S19" s="6">
        <f t="shared" ref="S19" si="56">S6/R6-1</f>
        <v>4.0000000000000036E-2</v>
      </c>
      <c r="T19" s="6">
        <f t="shared" ref="T19" si="57">T6/S6-1</f>
        <v>4.0000000000000036E-2</v>
      </c>
      <c r="U19" s="6">
        <f t="shared" ref="U19" si="58">U6/T6-1</f>
        <v>4.0000000000000036E-2</v>
      </c>
      <c r="V19" s="6">
        <f t="shared" ref="V19" si="59">V6/U6-1</f>
        <v>4.0000000000000036E-2</v>
      </c>
      <c r="X19" s="1" t="s">
        <v>53</v>
      </c>
      <c r="Y19" s="2">
        <f>Y18/Main!J4</f>
        <v>499.77506336427325</v>
      </c>
    </row>
    <row r="20" spans="1:25" x14ac:dyDescent="0.2">
      <c r="Y20" s="6">
        <f>Y19/Main!J3-1</f>
        <v>7.0182148531634292E-2</v>
      </c>
    </row>
    <row r="21" spans="1:25" x14ac:dyDescent="0.2">
      <c r="B21" s="1" t="s">
        <v>27</v>
      </c>
      <c r="J21" s="1">
        <f>J22-SUM(J35:J38)</f>
        <v>0</v>
      </c>
      <c r="K21" s="1">
        <f>K22-SUM(K35:K38)</f>
        <v>-2049.4000000000005</v>
      </c>
      <c r="L21" s="1">
        <f>L22-SUM(L35:L38)</f>
        <v>-2147.5</v>
      </c>
      <c r="M21" s="1">
        <f>L21+M13</f>
        <v>-788.56312000000048</v>
      </c>
      <c r="N21" s="1">
        <f t="shared" ref="N21:Q21" si="60">M21+N13</f>
        <v>629.14137287999893</v>
      </c>
      <c r="O21" s="1">
        <f t="shared" si="60"/>
        <v>2107.3799915240775</v>
      </c>
      <c r="P21" s="1">
        <f t="shared" si="60"/>
        <v>3647.9576458813908</v>
      </c>
      <c r="Q21" s="1">
        <f t="shared" si="60"/>
        <v>5252.7178605601221</v>
      </c>
      <c r="R21" s="1">
        <f t="shared" ref="R21" si="61">Q21+R13</f>
        <v>6923.5429519600002</v>
      </c>
      <c r="S21" s="1">
        <f t="shared" ref="S21" si="62">R21+S13</f>
        <v>8662.3541615557533</v>
      </c>
      <c r="T21" s="1">
        <f t="shared" ref="T21" si="63">S21+T13</f>
        <v>10471.111741745641</v>
      </c>
      <c r="U21" s="1">
        <f t="shared" ref="U21" si="64">T21+U13</f>
        <v>12351.814990470906</v>
      </c>
      <c r="V21" s="1">
        <f t="shared" ref="V21" si="65">U21+V13</f>
        <v>14306.502230592994</v>
      </c>
    </row>
    <row r="22" spans="1:25" x14ac:dyDescent="0.2">
      <c r="B22" s="1" t="s">
        <v>3</v>
      </c>
      <c r="K22" s="1">
        <v>766.6</v>
      </c>
      <c r="L22" s="1">
        <v>703.2</v>
      </c>
    </row>
    <row r="23" spans="1:25" x14ac:dyDescent="0.2">
      <c r="B23" s="1" t="s">
        <v>28</v>
      </c>
      <c r="K23" s="1">
        <v>207.9</v>
      </c>
      <c r="L23" s="1">
        <v>223.3</v>
      </c>
    </row>
    <row r="24" spans="1:25" x14ac:dyDescent="0.2">
      <c r="B24" s="1" t="s">
        <v>33</v>
      </c>
      <c r="K24" s="1">
        <v>1742.1</v>
      </c>
      <c r="L24" s="1">
        <v>1968.2</v>
      </c>
    </row>
    <row r="25" spans="1:25" x14ac:dyDescent="0.2">
      <c r="B25" s="1" t="s">
        <v>34</v>
      </c>
      <c r="K25" s="1">
        <f>115.6+4.25</f>
        <v>119.85</v>
      </c>
      <c r="L25" s="1">
        <f>129.1+5</f>
        <v>134.1</v>
      </c>
    </row>
    <row r="26" spans="1:25" x14ac:dyDescent="0.2">
      <c r="B26" s="1" t="s">
        <v>36</v>
      </c>
      <c r="K26" s="1">
        <v>1182.3</v>
      </c>
      <c r="L26" s="1">
        <v>1239.3</v>
      </c>
    </row>
    <row r="27" spans="1:25" x14ac:dyDescent="0.2">
      <c r="B27" s="1" t="s">
        <v>37</v>
      </c>
      <c r="K27" s="1">
        <v>1574.5</v>
      </c>
      <c r="L27" s="1">
        <v>1609.9</v>
      </c>
    </row>
    <row r="28" spans="1:25" x14ac:dyDescent="0.2">
      <c r="B28" s="1" t="s">
        <v>38</v>
      </c>
      <c r="K28" s="1">
        <v>10.9</v>
      </c>
      <c r="L28" s="1">
        <v>10.9</v>
      </c>
    </row>
    <row r="29" spans="1:25" x14ac:dyDescent="0.2">
      <c r="B29" s="1" t="s">
        <v>39</v>
      </c>
      <c r="K29" s="1">
        <v>0.5</v>
      </c>
      <c r="L29" s="1">
        <v>0.2</v>
      </c>
    </row>
    <row r="30" spans="1:25" x14ac:dyDescent="0.2">
      <c r="B30" s="1" t="s">
        <v>40</v>
      </c>
      <c r="K30" s="1">
        <v>43.5</v>
      </c>
      <c r="L30" s="1">
        <v>48</v>
      </c>
    </row>
    <row r="31" spans="1:25" x14ac:dyDescent="0.2">
      <c r="B31" s="1" t="s">
        <v>41</v>
      </c>
      <c r="K31" s="1">
        <v>58.7</v>
      </c>
      <c r="L31" s="1">
        <v>65</v>
      </c>
    </row>
    <row r="32" spans="1:25" x14ac:dyDescent="0.2">
      <c r="B32" s="1" t="s">
        <v>35</v>
      </c>
      <c r="J32" s="1">
        <f>SUM(J22:J31)</f>
        <v>0</v>
      </c>
      <c r="K32" s="1">
        <f>SUM(K22:K31)</f>
        <v>5706.8499999999995</v>
      </c>
      <c r="L32" s="1">
        <f>SUM(L22:L31)</f>
        <v>6002.0999999999995</v>
      </c>
    </row>
    <row r="34" spans="2:13" x14ac:dyDescent="0.2">
      <c r="B34" s="1" t="s">
        <v>29</v>
      </c>
      <c r="K34" s="1">
        <v>544</v>
      </c>
      <c r="L34" s="1">
        <v>563.76</v>
      </c>
    </row>
    <row r="35" spans="2:13" x14ac:dyDescent="0.2">
      <c r="B35" s="1" t="s">
        <v>42</v>
      </c>
      <c r="K35" s="1">
        <f>382.4+283.8</f>
        <v>666.2</v>
      </c>
      <c r="L35" s="1">
        <f>380.2+288</f>
        <v>668.2</v>
      </c>
    </row>
    <row r="36" spans="2:13" x14ac:dyDescent="0.2">
      <c r="B36" s="1" t="s">
        <v>43</v>
      </c>
      <c r="K36" s="1">
        <v>436.6</v>
      </c>
      <c r="L36" s="1">
        <v>500.6</v>
      </c>
    </row>
    <row r="37" spans="2:13" x14ac:dyDescent="0.2">
      <c r="B37" s="1" t="s">
        <v>48</v>
      </c>
      <c r="K37" s="1">
        <v>1627.3</v>
      </c>
      <c r="L37" s="1">
        <f>1635.1</f>
        <v>1635.1</v>
      </c>
    </row>
    <row r="38" spans="2:13" x14ac:dyDescent="0.2">
      <c r="B38" s="1" t="s">
        <v>44</v>
      </c>
      <c r="K38" s="1">
        <v>85.9</v>
      </c>
      <c r="L38" s="1">
        <v>46.8</v>
      </c>
    </row>
    <row r="39" spans="2:13" x14ac:dyDescent="0.2">
      <c r="B39" s="1" t="s">
        <v>54</v>
      </c>
      <c r="K39" s="1">
        <v>56.3</v>
      </c>
      <c r="L39" s="1">
        <v>56.1</v>
      </c>
    </row>
    <row r="40" spans="2:13" x14ac:dyDescent="0.2">
      <c r="B40" s="1" t="s">
        <v>45</v>
      </c>
      <c r="J40" s="1">
        <f>SUM(J34:J38)</f>
        <v>0</v>
      </c>
      <c r="K40" s="1">
        <f>SUM(K34:K39)</f>
        <v>3416.3000000000006</v>
      </c>
      <c r="L40" s="1">
        <f>SUM(L34:L39)</f>
        <v>3470.56</v>
      </c>
    </row>
    <row r="41" spans="2:13" x14ac:dyDescent="0.2">
      <c r="B41" s="1" t="s">
        <v>46</v>
      </c>
      <c r="J41" s="1">
        <f>J32-J40</f>
        <v>0</v>
      </c>
      <c r="K41" s="1">
        <f>K32-K40</f>
        <v>2290.5499999999988</v>
      </c>
      <c r="L41" s="1">
        <f>L32-L40</f>
        <v>2531.5399999999995</v>
      </c>
      <c r="M41" s="6"/>
    </row>
    <row r="42" spans="2:13" x14ac:dyDescent="0.2">
      <c r="B42" s="1" t="s">
        <v>47</v>
      </c>
      <c r="J42" s="1">
        <f>J40+J41</f>
        <v>0</v>
      </c>
      <c r="K42" s="1">
        <f>K40+K41</f>
        <v>5706.8499999999995</v>
      </c>
      <c r="L42" s="1">
        <f>L40+L41</f>
        <v>6002.0999999999995</v>
      </c>
    </row>
    <row r="44" spans="2:13" x14ac:dyDescent="0.2">
      <c r="B44" s="1" t="s">
        <v>30</v>
      </c>
    </row>
    <row r="45" spans="2:13" x14ac:dyDescent="0.2">
      <c r="B45" s="1" t="s">
        <v>31</v>
      </c>
    </row>
    <row r="46" spans="2:13" x14ac:dyDescent="0.2">
      <c r="B46" s="1" t="s">
        <v>32</v>
      </c>
    </row>
  </sheetData>
  <hyperlinks>
    <hyperlink ref="A1" location="Main!A1" display="Main" xr:uid="{669DFAB0-432F-47E2-BBE2-BF880DBB653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2025-06-06T05:30:45Z</dcterms:created>
  <dcterms:modified xsi:type="dcterms:W3CDTF">2025-06-17T22:21:19Z</dcterms:modified>
</cp:coreProperties>
</file>