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1B7BA687-4EAA-46A7-9007-B3CBB6E9C20F}" xr6:coauthVersionLast="47" xr6:coauthVersionMax="47" xr10:uidLastSave="{00000000-0000-0000-0000-000000000000}"/>
  <bookViews>
    <workbookView xWindow="2880" yWindow="0" windowWidth="21750" windowHeight="15015" activeTab="1" xr2:uid="{0B35871E-4663-488C-B05C-A1B5B9C863D7}"/>
  </bookViews>
  <sheets>
    <sheet name="Main" sheetId="1" r:id="rId1"/>
    <sheet name="Model" sheetId="2" r:id="rId2"/>
    <sheet name="Literature" sheetId="17" r:id="rId3"/>
    <sheet name="IP" sheetId="5" r:id="rId4"/>
    <sheet name="Trials" sheetId="4" r:id="rId5"/>
    <sheet name="GLP-1s" sheetId="3" r:id="rId6"/>
    <sheet name="Mounjaro-Zepbound" sheetId="6" r:id="rId7"/>
    <sheet name="Trulicity" sheetId="7" r:id="rId8"/>
    <sheet name="Kisunla" sheetId="8" r:id="rId9"/>
    <sheet name="orforglipron" sheetId="10" r:id="rId10"/>
    <sheet name="retratrutide" sheetId="11" r:id="rId11"/>
    <sheet name="imlunestrant" sheetId="12" r:id="rId12"/>
    <sheet name="lebrikizumab" sheetId="13" r:id="rId13"/>
    <sheet name="lepodisiran" sheetId="14" r:id="rId14"/>
    <sheet name="mirikizumab" sheetId="15" r:id="rId15"/>
    <sheet name="olomorasib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7" i="2" l="1"/>
  <c r="T17" i="2" s="1"/>
  <c r="U17" i="2" s="1"/>
  <c r="V17" i="2" s="1"/>
  <c r="W17" i="2" s="1"/>
  <c r="X17" i="2" s="1"/>
  <c r="Y17" i="2" s="1"/>
  <c r="Z17" i="2" s="1"/>
  <c r="AA17" i="2" s="1"/>
  <c r="R17" i="2"/>
  <c r="F24" i="6"/>
  <c r="G24" i="6"/>
  <c r="H24" i="6"/>
  <c r="I24" i="6"/>
  <c r="J24" i="6"/>
  <c r="J26" i="6" s="1"/>
  <c r="D29" i="6" s="1"/>
  <c r="D31" i="6" s="1"/>
  <c r="K24" i="6"/>
  <c r="K26" i="6" s="1"/>
  <c r="L24" i="6"/>
  <c r="M24" i="6"/>
  <c r="N24" i="6"/>
  <c r="O24" i="6"/>
  <c r="P24" i="6"/>
  <c r="Q24" i="6"/>
  <c r="R24" i="6"/>
  <c r="D26" i="6"/>
  <c r="E26" i="6"/>
  <c r="F26" i="6"/>
  <c r="G26" i="6"/>
  <c r="H26" i="6"/>
  <c r="I26" i="6"/>
  <c r="L26" i="6"/>
  <c r="M26" i="6"/>
  <c r="N26" i="6"/>
  <c r="O26" i="6"/>
  <c r="P26" i="6"/>
  <c r="Q26" i="6"/>
  <c r="R26" i="6"/>
  <c r="E24" i="6"/>
  <c r="D24" i="6"/>
  <c r="C24" i="6"/>
  <c r="C26" i="6" s="1"/>
  <c r="E23" i="6"/>
  <c r="F23" i="6" s="1"/>
  <c r="G23" i="6" s="1"/>
  <c r="H23" i="6" s="1"/>
  <c r="I23" i="6" s="1"/>
  <c r="J23" i="6" s="1"/>
  <c r="K23" i="6" s="1"/>
  <c r="L23" i="6" s="1"/>
  <c r="M23" i="6" s="1"/>
  <c r="N23" i="6" s="1"/>
  <c r="O23" i="6" s="1"/>
  <c r="P23" i="6" s="1"/>
  <c r="Q23" i="6" s="1"/>
  <c r="R23" i="6" s="1"/>
  <c r="D23" i="6"/>
  <c r="Q22" i="6"/>
  <c r="R22" i="6"/>
  <c r="N22" i="6"/>
  <c r="O22" i="6"/>
  <c r="P22" i="6"/>
  <c r="E22" i="6"/>
  <c r="F22" i="6"/>
  <c r="G22" i="6"/>
  <c r="H22" i="6" s="1"/>
  <c r="I22" i="6" s="1"/>
  <c r="J22" i="6" s="1"/>
  <c r="K22" i="6" s="1"/>
  <c r="L22" i="6" s="1"/>
  <c r="M22" i="6" s="1"/>
  <c r="D22" i="6"/>
  <c r="AB39" i="2"/>
  <c r="H28" i="2" l="1"/>
  <c r="I28" i="2" s="1"/>
  <c r="J28" i="2" s="1"/>
  <c r="Q28" i="2" s="1"/>
  <c r="R28" i="2" s="1"/>
  <c r="S28" i="2" s="1"/>
  <c r="T28" i="2" s="1"/>
  <c r="U28" i="2" s="1"/>
  <c r="V28" i="2" s="1"/>
  <c r="W28" i="2" s="1"/>
  <c r="X28" i="2" s="1"/>
  <c r="Y28" i="2" s="1"/>
  <c r="Z28" i="2" s="1"/>
  <c r="AA28" i="2" s="1"/>
  <c r="H21" i="2"/>
  <c r="I21" i="2" s="1"/>
  <c r="H20" i="2"/>
  <c r="I20" i="2" s="1"/>
  <c r="H17" i="2"/>
  <c r="I17" i="2" s="1"/>
  <c r="J17" i="2" s="1"/>
  <c r="C33" i="8"/>
  <c r="C35" i="8" s="1"/>
  <c r="D32" i="8"/>
  <c r="E32" i="8" s="1"/>
  <c r="D31" i="8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P31" i="8" s="1"/>
  <c r="Q31" i="8" s="1"/>
  <c r="R31" i="8" s="1"/>
  <c r="S31" i="8" s="1"/>
  <c r="G33" i="2"/>
  <c r="M31" i="2"/>
  <c r="N31" i="2"/>
  <c r="O31" i="2"/>
  <c r="P31" i="2"/>
  <c r="H18" i="2"/>
  <c r="G94" i="2"/>
  <c r="H90" i="2" s="1"/>
  <c r="J20" i="2" l="1"/>
  <c r="Q20" i="2" s="1"/>
  <c r="I33" i="2"/>
  <c r="J21" i="2"/>
  <c r="J33" i="2" s="1"/>
  <c r="H31" i="2"/>
  <c r="H33" i="2"/>
  <c r="Q21" i="2"/>
  <c r="R21" i="2" s="1"/>
  <c r="R33" i="2" s="1"/>
  <c r="E33" i="8"/>
  <c r="E35" i="8" s="1"/>
  <c r="F32" i="8"/>
  <c r="D33" i="8"/>
  <c r="D35" i="8" s="1"/>
  <c r="I18" i="2"/>
  <c r="I31" i="2"/>
  <c r="H89" i="2"/>
  <c r="H93" i="2"/>
  <c r="H92" i="2"/>
  <c r="H91" i="2"/>
  <c r="S21" i="2" l="1"/>
  <c r="G32" i="8"/>
  <c r="F33" i="8"/>
  <c r="F35" i="8" s="1"/>
  <c r="T21" i="2"/>
  <c r="S33" i="2"/>
  <c r="J18" i="2"/>
  <c r="Q18" i="2" s="1"/>
  <c r="J31" i="2"/>
  <c r="Q17" i="2"/>
  <c r="R18" i="2" l="1"/>
  <c r="H32" i="8"/>
  <c r="G33" i="8"/>
  <c r="G35" i="8" s="1"/>
  <c r="U21" i="2"/>
  <c r="T33" i="2"/>
  <c r="Q31" i="2"/>
  <c r="R31" i="2"/>
  <c r="S31" i="2" l="1"/>
  <c r="S18" i="2"/>
  <c r="I32" i="8"/>
  <c r="H33" i="8"/>
  <c r="H35" i="8" s="1"/>
  <c r="V21" i="2"/>
  <c r="U33" i="2"/>
  <c r="V22" i="2"/>
  <c r="V33" i="2" l="1"/>
  <c r="W21" i="2"/>
  <c r="T31" i="2"/>
  <c r="T18" i="2"/>
  <c r="J32" i="8"/>
  <c r="I33" i="8"/>
  <c r="I35" i="8" s="1"/>
  <c r="U18" i="2" l="1"/>
  <c r="U31" i="2"/>
  <c r="X21" i="2"/>
  <c r="W33" i="2"/>
  <c r="W22" i="2"/>
  <c r="K32" i="8"/>
  <c r="J33" i="8"/>
  <c r="J35" i="8" s="1"/>
  <c r="X22" i="2" l="1"/>
  <c r="Y21" i="2"/>
  <c r="X33" i="2"/>
  <c r="V18" i="2"/>
  <c r="V19" i="2" s="1"/>
  <c r="V31" i="2"/>
  <c r="L32" i="8"/>
  <c r="K33" i="8"/>
  <c r="K35" i="8" s="1"/>
  <c r="V32" i="2" l="1"/>
  <c r="V23" i="2"/>
  <c r="W18" i="2"/>
  <c r="W19" i="2"/>
  <c r="W31" i="2"/>
  <c r="Z21" i="2"/>
  <c r="Y33" i="2"/>
  <c r="Y22" i="2"/>
  <c r="M32" i="8"/>
  <c r="L33" i="8"/>
  <c r="L35" i="8" s="1"/>
  <c r="Z22" i="2" l="1"/>
  <c r="Z33" i="2"/>
  <c r="AA21" i="2"/>
  <c r="W32" i="2"/>
  <c r="W23" i="2"/>
  <c r="X18" i="2"/>
  <c r="X19" i="2" s="1"/>
  <c r="X31" i="2"/>
  <c r="N32" i="8"/>
  <c r="M33" i="8"/>
  <c r="M35" i="8" s="1"/>
  <c r="X23" i="2" l="1"/>
  <c r="X32" i="2"/>
  <c r="Y31" i="2"/>
  <c r="Y18" i="2"/>
  <c r="Y19" i="2" s="1"/>
  <c r="AA22" i="2"/>
  <c r="AA33" i="2"/>
  <c r="O32" i="8"/>
  <c r="N33" i="8"/>
  <c r="N35" i="8" s="1"/>
  <c r="Y32" i="2" l="1"/>
  <c r="Y23" i="2"/>
  <c r="Z18" i="2"/>
  <c r="Z19" i="2" s="1"/>
  <c r="Z31" i="2"/>
  <c r="P32" i="8"/>
  <c r="O33" i="8"/>
  <c r="O35" i="8" s="1"/>
  <c r="Z32" i="2" l="1"/>
  <c r="Z23" i="2"/>
  <c r="AA31" i="2"/>
  <c r="AA18" i="2"/>
  <c r="AA19" i="2" s="1"/>
  <c r="Q32" i="8"/>
  <c r="P33" i="8"/>
  <c r="P35" i="8" s="1"/>
  <c r="AA32" i="2" l="1"/>
  <c r="AA23" i="2"/>
  <c r="R32" i="8"/>
  <c r="Q33" i="8"/>
  <c r="Q35" i="8" s="1"/>
  <c r="S32" i="8" l="1"/>
  <c r="S33" i="8" s="1"/>
  <c r="S35" i="8" s="1"/>
  <c r="R33" i="8"/>
  <c r="R35" i="8" s="1"/>
  <c r="D38" i="8" l="1"/>
  <c r="G82" i="2" l="1"/>
  <c r="G85" i="2" s="1"/>
  <c r="G76" i="2"/>
  <c r="G79" i="2" s="1"/>
  <c r="G71" i="2"/>
  <c r="G73" i="2" s="1"/>
  <c r="G50" i="2"/>
  <c r="G60" i="2" s="1"/>
  <c r="K7" i="1"/>
  <c r="G87" i="2" l="1"/>
  <c r="M35" i="2"/>
  <c r="N35" i="2"/>
  <c r="O35" i="2"/>
  <c r="P35" i="2"/>
  <c r="L35" i="2"/>
  <c r="C35" i="2"/>
  <c r="D35" i="2"/>
  <c r="E35" i="2"/>
  <c r="F35" i="2"/>
  <c r="G36" i="2" l="1"/>
  <c r="G72" i="2" s="1"/>
  <c r="M19" i="2"/>
  <c r="M32" i="2" s="1"/>
  <c r="N19" i="2"/>
  <c r="N32" i="2" s="1"/>
  <c r="O19" i="2"/>
  <c r="O32" i="2" s="1"/>
  <c r="P19" i="2"/>
  <c r="P32" i="2" s="1"/>
  <c r="Q19" i="2"/>
  <c r="Q32" i="2" s="1"/>
  <c r="R19" i="2"/>
  <c r="R32" i="2" s="1"/>
  <c r="S19" i="2"/>
  <c r="S32" i="2" s="1"/>
  <c r="T19" i="2"/>
  <c r="U19" i="2"/>
  <c r="M22" i="2"/>
  <c r="N22" i="2"/>
  <c r="N23" i="2" s="1"/>
  <c r="N25" i="2" s="1"/>
  <c r="N27" i="2" s="1"/>
  <c r="N29" i="2" s="1"/>
  <c r="O22" i="2"/>
  <c r="O23" i="2" s="1"/>
  <c r="O25" i="2" s="1"/>
  <c r="O27" i="2" s="1"/>
  <c r="O29" i="2" s="1"/>
  <c r="P22" i="2"/>
  <c r="Q22" i="2"/>
  <c r="R22" i="2"/>
  <c r="S22" i="2"/>
  <c r="T22" i="2"/>
  <c r="U22" i="2"/>
  <c r="L22" i="2"/>
  <c r="L19" i="2"/>
  <c r="I19" i="2"/>
  <c r="I32" i="2" s="1"/>
  <c r="J19" i="2"/>
  <c r="J32" i="2" s="1"/>
  <c r="I22" i="2"/>
  <c r="I23" i="2" s="1"/>
  <c r="J22" i="2"/>
  <c r="H22" i="2"/>
  <c r="H19" i="2"/>
  <c r="H32" i="2" s="1"/>
  <c r="F22" i="2"/>
  <c r="F19" i="2"/>
  <c r="F32" i="2" s="1"/>
  <c r="E22" i="2"/>
  <c r="E19" i="2"/>
  <c r="E32" i="2" s="1"/>
  <c r="D19" i="2"/>
  <c r="D22" i="2"/>
  <c r="C19" i="2"/>
  <c r="C32" i="2" s="1"/>
  <c r="C22" i="2"/>
  <c r="G22" i="2"/>
  <c r="G19" i="2"/>
  <c r="G32" i="2" s="1"/>
  <c r="G31" i="2"/>
  <c r="D23" i="2" l="1"/>
  <c r="D25" i="2" s="1"/>
  <c r="D27" i="2" s="1"/>
  <c r="D32" i="2"/>
  <c r="L23" i="2"/>
  <c r="L25" i="2" s="1"/>
  <c r="L27" i="2" s="1"/>
  <c r="L29" i="2" s="1"/>
  <c r="L32" i="2"/>
  <c r="U23" i="2"/>
  <c r="U32" i="2"/>
  <c r="T23" i="2"/>
  <c r="T32" i="2"/>
  <c r="J23" i="2"/>
  <c r="M23" i="2"/>
  <c r="M25" i="2" s="1"/>
  <c r="M27" i="2" s="1"/>
  <c r="M29" i="2" s="1"/>
  <c r="F23" i="2"/>
  <c r="F25" i="2" s="1"/>
  <c r="F27" i="2" s="1"/>
  <c r="F29" i="2" s="1"/>
  <c r="D29" i="2"/>
  <c r="D64" i="2"/>
  <c r="G23" i="2"/>
  <c r="G25" i="2" s="1"/>
  <c r="G27" i="2" s="1"/>
  <c r="G48" i="2"/>
  <c r="G61" i="2" s="1"/>
  <c r="G62" i="2" s="1"/>
  <c r="G35" i="2"/>
  <c r="H24" i="2" s="1"/>
  <c r="H23" i="2"/>
  <c r="E23" i="2"/>
  <c r="E25" i="2" s="1"/>
  <c r="E27" i="2" s="1"/>
  <c r="Q23" i="2"/>
  <c r="S23" i="2"/>
  <c r="P23" i="2"/>
  <c r="P25" i="2" s="1"/>
  <c r="P27" i="2" s="1"/>
  <c r="P29" i="2" s="1"/>
  <c r="R23" i="2"/>
  <c r="C23" i="2"/>
  <c r="C25" i="2" s="1"/>
  <c r="C27" i="2" s="1"/>
  <c r="M2" i="2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K6" i="1"/>
  <c r="K4" i="1"/>
  <c r="K5" i="1" s="1"/>
  <c r="H25" i="2" l="1"/>
  <c r="H26" i="2"/>
  <c r="H27" i="2" s="1"/>
  <c r="K8" i="1"/>
  <c r="F64" i="2"/>
  <c r="C29" i="2"/>
  <c r="C64" i="2"/>
  <c r="E29" i="2"/>
  <c r="E64" i="2"/>
  <c r="G29" i="2"/>
  <c r="G64" i="2"/>
  <c r="H29" i="2" l="1"/>
  <c r="H35" i="2"/>
  <c r="I24" i="2" s="1"/>
  <c r="I25" i="2" l="1"/>
  <c r="I26" i="2" l="1"/>
  <c r="I27" i="2" s="1"/>
  <c r="I29" i="2" l="1"/>
  <c r="I35" i="2"/>
  <c r="J24" i="2" s="1"/>
  <c r="J25" i="2" l="1"/>
  <c r="Q24" i="2"/>
  <c r="Q25" i="2" s="1"/>
  <c r="J26" i="2" l="1"/>
  <c r="Q26" i="2" s="1"/>
  <c r="Q27" i="2" s="1"/>
  <c r="Q29" i="2" l="1"/>
  <c r="J27" i="2"/>
  <c r="J29" i="2" l="1"/>
  <c r="J35" i="2"/>
  <c r="Q35" i="2" s="1"/>
  <c r="R24" i="2" s="1"/>
  <c r="R25" i="2" s="1"/>
  <c r="R26" i="2" s="1"/>
  <c r="R27" i="2" s="1"/>
  <c r="R29" i="2" l="1"/>
  <c r="R35" i="2"/>
  <c r="S24" i="2"/>
  <c r="S25" i="2" s="1"/>
  <c r="S26" i="2" s="1"/>
  <c r="S27" i="2" s="1"/>
  <c r="S29" i="2" l="1"/>
  <c r="S35" i="2"/>
  <c r="T24" i="2" l="1"/>
  <c r="T25" i="2" s="1"/>
  <c r="T26" i="2" s="1"/>
  <c r="T27" i="2" s="1"/>
  <c r="T29" i="2" l="1"/>
  <c r="T35" i="2"/>
  <c r="U24" i="2" l="1"/>
  <c r="U25" i="2" s="1"/>
  <c r="U26" i="2" s="1"/>
  <c r="U27" i="2" s="1"/>
  <c r="U35" i="2" l="1"/>
  <c r="V24" i="2"/>
  <c r="V25" i="2" s="1"/>
  <c r="V26" i="2" s="1"/>
  <c r="V27" i="2" s="1"/>
  <c r="V35" i="2" s="1"/>
  <c r="U29" i="2"/>
  <c r="W24" i="2" l="1"/>
  <c r="W25" i="2" s="1"/>
  <c r="V29" i="2"/>
  <c r="W26" i="2" l="1"/>
  <c r="W27" i="2" s="1"/>
  <c r="W29" i="2" l="1"/>
  <c r="W35" i="2"/>
  <c r="X24" i="2" l="1"/>
  <c r="X25" i="2" s="1"/>
  <c r="X26" i="2" l="1"/>
  <c r="X27" i="2"/>
  <c r="X29" i="2" l="1"/>
  <c r="X35" i="2"/>
  <c r="Y24" i="2" l="1"/>
  <c r="Y25" i="2" s="1"/>
  <c r="Y26" i="2" s="1"/>
  <c r="Y27" i="2" s="1"/>
  <c r="Y29" i="2" s="1"/>
  <c r="Y35" i="2"/>
  <c r="Z24" i="2" l="1"/>
  <c r="Z25" i="2" s="1"/>
  <c r="Z26" i="2" s="1"/>
  <c r="Z27" i="2" s="1"/>
  <c r="Z29" i="2" s="1"/>
  <c r="Z35" i="2" l="1"/>
  <c r="AA24" i="2" l="1"/>
  <c r="AA25" i="2" s="1"/>
  <c r="AA26" i="2" s="1"/>
  <c r="AA27" i="2" s="1"/>
  <c r="AA35" i="2" s="1"/>
  <c r="AA29" i="2" l="1"/>
  <c r="AB27" i="2"/>
  <c r="AC27" i="2" s="1"/>
  <c r="AD27" i="2" s="1"/>
  <c r="AE27" i="2" s="1"/>
  <c r="AF27" i="2" s="1"/>
  <c r="AG27" i="2" s="1"/>
  <c r="AH27" i="2" s="1"/>
  <c r="AI27" i="2" s="1"/>
  <c r="AJ27" i="2" s="1"/>
  <c r="AK27" i="2" s="1"/>
  <c r="AL27" i="2" s="1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AD32" i="2" s="1"/>
  <c r="AD33" i="2" l="1"/>
  <c r="AD3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tc={870D49C2-D2BC-4507-9362-BAC854248C6B}</author>
  </authors>
  <commentList>
    <comment ref="Q17" authorId="0" shapeId="0" xr:uid="{870D49C2-D2BC-4507-9362-BAC854248C6B}">
      <text>
        <t>[Threaded comment]
Your version of Excel allows you to read this threaded comment; however, any edits to it will get removed if the file is opened in a newer version of Excel. Learn more: https://go.microsoft.com/fwlink/?linkid=870924
Comment:
    2025 guidance 58-61B as per Q125 presentation</t>
      </text>
    </comment>
  </commentList>
</comments>
</file>

<file path=xl/sharedStrings.xml><?xml version="1.0" encoding="utf-8"?>
<sst xmlns="http://schemas.openxmlformats.org/spreadsheetml/2006/main" count="566" uniqueCount="352">
  <si>
    <t>Price</t>
  </si>
  <si>
    <t>Shares</t>
  </si>
  <si>
    <t>MC</t>
  </si>
  <si>
    <t>Cash</t>
  </si>
  <si>
    <t>Debt</t>
  </si>
  <si>
    <t>EV</t>
  </si>
  <si>
    <t>Name</t>
  </si>
  <si>
    <t>Indication</t>
  </si>
  <si>
    <t>Phase</t>
  </si>
  <si>
    <t>Approved</t>
  </si>
  <si>
    <t>MOA</t>
  </si>
  <si>
    <t>Economics</t>
  </si>
  <si>
    <t>IP</t>
  </si>
  <si>
    <t>Q125</t>
  </si>
  <si>
    <t>Main</t>
  </si>
  <si>
    <t>Revenue</t>
  </si>
  <si>
    <t>Q124</t>
  </si>
  <si>
    <t>Q224</t>
  </si>
  <si>
    <t>Q324</t>
  </si>
  <si>
    <t>Q424</t>
  </si>
  <si>
    <t>Q225</t>
  </si>
  <si>
    <t>Q325</t>
  </si>
  <si>
    <t>Q425</t>
  </si>
  <si>
    <t>COGS</t>
  </si>
  <si>
    <t>Gross Profit</t>
  </si>
  <si>
    <t>R&amp;D</t>
  </si>
  <si>
    <t>SG&amp;A</t>
  </si>
  <si>
    <t>Operating Expenses</t>
  </si>
  <si>
    <t>Operating Income</t>
  </si>
  <si>
    <t>Number</t>
  </si>
  <si>
    <t>n</t>
  </si>
  <si>
    <t>Date</t>
  </si>
  <si>
    <t>Notes</t>
  </si>
  <si>
    <t>Patent</t>
  </si>
  <si>
    <t>Title</t>
  </si>
  <si>
    <t>Brand</t>
  </si>
  <si>
    <t>Generic</t>
  </si>
  <si>
    <t>Approval</t>
  </si>
  <si>
    <t>Company</t>
  </si>
  <si>
    <t>Y1</t>
  </si>
  <si>
    <t>Y2</t>
  </si>
  <si>
    <t>Y3</t>
  </si>
  <si>
    <t>Y4</t>
  </si>
  <si>
    <t>Y5</t>
  </si>
  <si>
    <t>Q1</t>
  </si>
  <si>
    <t>Q2</t>
  </si>
  <si>
    <t>Total</t>
  </si>
  <si>
    <t>Interest Income</t>
  </si>
  <si>
    <t>Pretax Income</t>
  </si>
  <si>
    <t>Tax</t>
  </si>
  <si>
    <t>Net Income</t>
  </si>
  <si>
    <t>EPS</t>
  </si>
  <si>
    <t>Revenue y/y</t>
  </si>
  <si>
    <t>Gross Margin</t>
  </si>
  <si>
    <t>Net Cash</t>
  </si>
  <si>
    <t>AR</t>
  </si>
  <si>
    <t>Inventories</t>
  </si>
  <si>
    <t>Prepaids</t>
  </si>
  <si>
    <t>OCA</t>
  </si>
  <si>
    <t>Investments</t>
  </si>
  <si>
    <t>GW</t>
  </si>
  <si>
    <t>Other Receivables</t>
  </si>
  <si>
    <t>Other Intangibles</t>
  </si>
  <si>
    <t>PP&amp;E</t>
  </si>
  <si>
    <t>ONCA</t>
  </si>
  <si>
    <t>Assets</t>
  </si>
  <si>
    <t>AP</t>
  </si>
  <si>
    <t>Compensation</t>
  </si>
  <si>
    <t>OCL</t>
  </si>
  <si>
    <t>ONCL</t>
  </si>
  <si>
    <t>Liabilities</t>
  </si>
  <si>
    <t>L+SE</t>
  </si>
  <si>
    <t>SE</t>
  </si>
  <si>
    <t>Model NI</t>
  </si>
  <si>
    <t>Reported NI</t>
  </si>
  <si>
    <t>D&amp;A</t>
  </si>
  <si>
    <t>DT</t>
  </si>
  <si>
    <t>Taxes</t>
  </si>
  <si>
    <t>Retirement</t>
  </si>
  <si>
    <t>Sales Rebates</t>
  </si>
  <si>
    <t>Dividends</t>
  </si>
  <si>
    <t>SBC</t>
  </si>
  <si>
    <t>IPR&amp;D</t>
  </si>
  <si>
    <t>Other</t>
  </si>
  <si>
    <t>WC</t>
  </si>
  <si>
    <t>CFFO</t>
  </si>
  <si>
    <t>CapEx</t>
  </si>
  <si>
    <t>Acquisitions/IPRD</t>
  </si>
  <si>
    <t>CFFI</t>
  </si>
  <si>
    <t>Borrowing</t>
  </si>
  <si>
    <t>Buyback</t>
  </si>
  <si>
    <t>CFFF</t>
  </si>
  <si>
    <t>FX</t>
  </si>
  <si>
    <t>CIC</t>
  </si>
  <si>
    <t>Royalties</t>
  </si>
  <si>
    <t>Mounjaro</t>
  </si>
  <si>
    <t>Zepbound</t>
  </si>
  <si>
    <t>Trulicity</t>
  </si>
  <si>
    <t>Jardiance</t>
  </si>
  <si>
    <t>USA</t>
  </si>
  <si>
    <t>Europe</t>
  </si>
  <si>
    <t>China</t>
  </si>
  <si>
    <t>Japan</t>
  </si>
  <si>
    <t>Rest of World</t>
  </si>
  <si>
    <t>Other Cardiometabolic Health</t>
  </si>
  <si>
    <t>Verzenio</t>
  </si>
  <si>
    <t>Other Oncology</t>
  </si>
  <si>
    <t>Taltz</t>
  </si>
  <si>
    <t>Other Immunology</t>
  </si>
  <si>
    <t>Neuroscience</t>
  </si>
  <si>
    <t>Pricing power of GLP-1s?</t>
  </si>
  <si>
    <t>TAM GLP-1s</t>
  </si>
  <si>
    <t>Olomorasib</t>
  </si>
  <si>
    <t>Tirzepatide</t>
  </si>
  <si>
    <t>Orforglipron</t>
  </si>
  <si>
    <t>Questions:</t>
  </si>
  <si>
    <t>III</t>
  </si>
  <si>
    <t>CEO: David Ricks</t>
  </si>
  <si>
    <t>SG&amp;A y/y</t>
  </si>
  <si>
    <t>ROIC</t>
  </si>
  <si>
    <t>Maturity</t>
  </si>
  <si>
    <t>Discount</t>
  </si>
  <si>
    <t>NPV</t>
  </si>
  <si>
    <t>Share</t>
  </si>
  <si>
    <t>CFO: Lucas Montarce</t>
  </si>
  <si>
    <t>Abecmaciclib</t>
  </si>
  <si>
    <t>Imlunestrant</t>
  </si>
  <si>
    <t>Insulin Efsitora Alfa</t>
  </si>
  <si>
    <t>Lebrikizumab</t>
  </si>
  <si>
    <t>Lepodisiran</t>
  </si>
  <si>
    <t>Remternetug</t>
  </si>
  <si>
    <t>Retatrutide</t>
  </si>
  <si>
    <t>Selpercatinib</t>
  </si>
  <si>
    <t>Bimagrumab</t>
  </si>
  <si>
    <t>CD19 Ab</t>
  </si>
  <si>
    <t>Eloralintide</t>
  </si>
  <si>
    <t>Eltrekibart</t>
  </si>
  <si>
    <t>Epiregulin Ab</t>
  </si>
  <si>
    <t>GBA1 Gene Therapy</t>
  </si>
  <si>
    <t>GLP-1R NPA II</t>
  </si>
  <si>
    <t>GRN Gene Therapy</t>
  </si>
  <si>
    <t>Kv1.3 Antagonist</t>
  </si>
  <si>
    <t>Mazdutide</t>
  </si>
  <si>
    <t>Mazisotine</t>
  </si>
  <si>
    <t>Mevidalen</t>
  </si>
  <si>
    <t>MORF-057</t>
  </si>
  <si>
    <t>Muvalaplin</t>
  </si>
  <si>
    <t>Ocadusertib</t>
  </si>
  <si>
    <t>OTOF Gene Therapy</t>
  </si>
  <si>
    <t>P2X7 Inhibitor</t>
  </si>
  <si>
    <t>Simepdekinra</t>
  </si>
  <si>
    <t>Solbinsiran</t>
  </si>
  <si>
    <t>II</t>
  </si>
  <si>
    <t>[Ac-225]-PSMA-62</t>
  </si>
  <si>
    <t>Anti-VEGF Gene Therapy</t>
  </si>
  <si>
    <t>AT2R Antagonist</t>
  </si>
  <si>
    <t>FGFR3 Selective</t>
  </si>
  <si>
    <t>Fra ADC</t>
  </si>
  <si>
    <t>FXR Agonist (FXR314)</t>
  </si>
  <si>
    <t>GIP/GLP-1 Coagonist III</t>
  </si>
  <si>
    <t>GIPR Agonist Long Acting</t>
  </si>
  <si>
    <t>GS Insulin Receptor Agonist</t>
  </si>
  <si>
    <t>Integrin a5b1</t>
  </si>
  <si>
    <t>Itaconate Mimetic</t>
  </si>
  <si>
    <t>KRAS G12D</t>
  </si>
  <si>
    <t>LA-ANP</t>
  </si>
  <si>
    <t>Macupatide</t>
  </si>
  <si>
    <t>MAPT siRNA</t>
  </si>
  <si>
    <t>Nectin-4 ADC 1</t>
  </si>
  <si>
    <t>Nectin-4 ADC 2</t>
  </si>
  <si>
    <t>Nisotirostide</t>
  </si>
  <si>
    <t>Pan KRAS</t>
  </si>
  <si>
    <t>PI3Ka Inhibitor (STX-478)</t>
  </si>
  <si>
    <t>PNPLA3 siRNA</t>
  </si>
  <si>
    <t>SARM1 Inhibitor</t>
  </si>
  <si>
    <t>SCAP siRNA</t>
  </si>
  <si>
    <t>SMARCA2 (BRM)</t>
  </si>
  <si>
    <t>SNCA siRNA</t>
  </si>
  <si>
    <t>I</t>
  </si>
  <si>
    <t>Mounjaro (tirzepatide)</t>
  </si>
  <si>
    <t>Zepbound (tirzepatide)</t>
  </si>
  <si>
    <t>Emgality (galcanezumab-gnlm)</t>
  </si>
  <si>
    <t>Jaypirca (pirtobrutinib)</t>
  </si>
  <si>
    <t>Retevmo (selpercatinib)</t>
  </si>
  <si>
    <t>Olumiant (baricitinib)</t>
  </si>
  <si>
    <t>Omvoh (mirikizumab-mrkz)</t>
  </si>
  <si>
    <t>Reyvow (lasmiditan)</t>
  </si>
  <si>
    <t>Lyumjev (insulin lispro)</t>
  </si>
  <si>
    <t>Ebglyss (lebrikizumab-lbkz)</t>
  </si>
  <si>
    <t>Adcirca (tadalafil)</t>
  </si>
  <si>
    <t>Alimta (pemetrexed)</t>
  </si>
  <si>
    <t>AmyviD (florbetapir)</t>
  </si>
  <si>
    <t>Baqsimi (glucagon)</t>
  </si>
  <si>
    <t>Basaglar (insulin glargine)</t>
  </si>
  <si>
    <t>Erbitux (cetuximab)</t>
  </si>
  <si>
    <t>Forteo (teriparatide)</t>
  </si>
  <si>
    <t>Humalog (insulin lispro)</t>
  </si>
  <si>
    <t>Humatrope (somatropin)</t>
  </si>
  <si>
    <t>Humulin (insulin isophane)</t>
  </si>
  <si>
    <t>Jardiance (empagliflozin)</t>
  </si>
  <si>
    <t>Jentadeuto (linagliptin I metformin HCI)</t>
  </si>
  <si>
    <t>Synjardy (empagliflozin/metformin HCI)</t>
  </si>
  <si>
    <t>Taltz (ixekizumab)</t>
  </si>
  <si>
    <t>Tauvid (flortaucipir F 18)</t>
  </si>
  <si>
    <t>Tradjenta (linagliptin)</t>
  </si>
  <si>
    <t>Trulicity (dulaglutide)</t>
  </si>
  <si>
    <t>Verzenio (abecmaciclib)</t>
  </si>
  <si>
    <t>Zyprexa (olanzapine)</t>
  </si>
  <si>
    <t>Acquistions</t>
  </si>
  <si>
    <t>Clinical Trials</t>
  </si>
  <si>
    <t>Physiochemistry</t>
  </si>
  <si>
    <t>Regulatory</t>
  </si>
  <si>
    <t>Dosing</t>
  </si>
  <si>
    <t>US Patient Pool</t>
  </si>
  <si>
    <t>Treated</t>
  </si>
  <si>
    <t>Kisunla (donanemab-azbt)</t>
  </si>
  <si>
    <t>Kisunla</t>
  </si>
  <si>
    <t>donanemab</t>
  </si>
  <si>
    <t>Alzheimer's</t>
  </si>
  <si>
    <t>mAb</t>
  </si>
  <si>
    <t>Approved FDA; Likely approval EMA</t>
  </si>
  <si>
    <t>Verve Therapeutics - July 25 2025</t>
  </si>
  <si>
    <t>Phase III "ACHIEVE-1" in Obesity? n= NCT:</t>
  </si>
  <si>
    <t>orforglipron</t>
  </si>
  <si>
    <t>Obesity?</t>
  </si>
  <si>
    <t>Phase III "ATTAIN-1"</t>
  </si>
  <si>
    <t>Results Q325</t>
  </si>
  <si>
    <t>retratrutide</t>
  </si>
  <si>
    <t>Phase III "TRUMPH-4" in Obestity? n= NCT:</t>
  </si>
  <si>
    <t>Results Q425</t>
  </si>
  <si>
    <t>mAb blocks activin type II receptors</t>
  </si>
  <si>
    <t>P.E MACE-3: CV death, myocardial infarction or stroke</t>
  </si>
  <si>
    <t xml:space="preserve">Phase III "SURPASS-CVOT" in  n=13299 NCT: </t>
  </si>
  <si>
    <t>dulaglutide</t>
  </si>
  <si>
    <t>Reduced risk of MACE-3 by 12% p=0.026</t>
  </si>
  <si>
    <t>double US manufacturing investments to a total of 50B since 2020</t>
  </si>
  <si>
    <t>GLP-1</t>
  </si>
  <si>
    <t>Oral</t>
  </si>
  <si>
    <t>S.S?</t>
  </si>
  <si>
    <t>Cyramza (ramucirumab)</t>
  </si>
  <si>
    <t>Glyxambi (empagliflozin/linagliptin)</t>
  </si>
  <si>
    <t>Type 2 Diabetes</t>
  </si>
  <si>
    <t>ASCVD</t>
  </si>
  <si>
    <t>III?</t>
  </si>
  <si>
    <t>resected adjuvant NSCLC</t>
  </si>
  <si>
    <t>ER+, HER2-mBC</t>
  </si>
  <si>
    <t>Crohn's disease</t>
  </si>
  <si>
    <t>Phase III "TRAILBLAZER-ALZ 3" in Alzheimer's n=2196 NCT:NCT05026866</t>
  </si>
  <si>
    <t>Phase III "TRAILBLAZER-ALZ 5" in Alzheimer's n=1500 NCT:NCT05508789</t>
  </si>
  <si>
    <t>Phase III "TRAILBLAZER-ALZ 6" in Alzheimer's n=800 NCT:NCT04437511</t>
  </si>
  <si>
    <t>Phase III "TRAILBLAZER-ALZ 2" in Alzheimer's n=1736 NCT:NCT05738486</t>
  </si>
  <si>
    <t>P.E iADRS</t>
  </si>
  <si>
    <t>P.E ARIA-E</t>
  </si>
  <si>
    <t>P.E CDR-GS</t>
  </si>
  <si>
    <t>imlunestrant</t>
  </si>
  <si>
    <t>Phase III "EMBER-3" in ER+, HER2-mBC n=866 NCT:NCT04975308</t>
  </si>
  <si>
    <t>Phase III "EMBER-4" in ER+, HER2-mBC n=8000 NCT:NCT05514054</t>
  </si>
  <si>
    <t>ER+, HER2-mBC; Breast Neoplasms</t>
  </si>
  <si>
    <t>P.E. PFS in ITT</t>
  </si>
  <si>
    <t>P.E. IDFS</t>
  </si>
  <si>
    <t>lebrikizumab</t>
  </si>
  <si>
    <t>LY3650150</t>
  </si>
  <si>
    <t>Phase III "ADmirable" in mod-severe Atopic Dermatitis n=80 NCT:NCT05372419</t>
  </si>
  <si>
    <t>Phase III "ADjoin" in mod-severe Atopic Dermatitis n=1188 NCT:NCT04392154</t>
  </si>
  <si>
    <t>Phase III "ADorable-2" in mod-severe Atopic Dermatitis 6mo to &lt;18yr age n=310 NCT:NCT05735483</t>
  </si>
  <si>
    <t>Phase III "ADorable-1" in mod-severe Atopic Dermatitis 6mo to &lt;18yr age n=360 NCT:NCT05559359</t>
  </si>
  <si>
    <t>Phase III "ADvance-Asia" w/without topical corticosteroid mod-severe Atopic Dermatitis n=430 NCT:NCT06280716</t>
  </si>
  <si>
    <t>Phase III "PREPARED-1" in Perennial Allergic Rhinitis n=450 NCT:NCT06339008</t>
  </si>
  <si>
    <t>Phase III "" efficacy and safety in mod-severe Atopic Hand and Foot Dermatitis n=206 NCT:NCT06921759</t>
  </si>
  <si>
    <t>Phase III "CONTRAST-NP" in chronic rhinosinusitis &amp; nasal polyps treated w/intranasal corticosteroids n=510 NCT:NCT06338995</t>
  </si>
  <si>
    <t>P.E. EASI-75</t>
  </si>
  <si>
    <t>P.E. % of participants discountinued due to AE</t>
  </si>
  <si>
    <t>P.E. CFBL in TNSS at week 16</t>
  </si>
  <si>
    <t>P.E. % of participants achieving a HF-IGA score of 0 or 1 w/&gt;=2 point improvement from baseline</t>
  </si>
  <si>
    <t>P.E. CFBL in NCS</t>
  </si>
  <si>
    <t>lepodisiran</t>
  </si>
  <si>
    <t>Phase III "ACCLAIM-Lp?" in ASCVD n=12500 NCT:NCT06292013</t>
  </si>
  <si>
    <t>P.E. time to first occurance of any MACE-4 composite endpoint</t>
  </si>
  <si>
    <t>mirikizumab</t>
  </si>
  <si>
    <t>Crohn's Disease, Ulcerative Colitis</t>
  </si>
  <si>
    <t>Phase III "VIVID-2" in Crohn's Disease n=778 NCT:NCT04232553</t>
  </si>
  <si>
    <t>Phase III "COMMIT-CD" in Crohn's Disease n=290 NCT:NCT06937099</t>
  </si>
  <si>
    <t>Phase III "LUCENT-3" in Ulcerative Colitis n=1063 NCT:NCT03519945</t>
  </si>
  <si>
    <t>Phase III "COMMIT-UC" in Ulcerative Colitis n=350 NCT:NCT06937086</t>
  </si>
  <si>
    <t>Omvoh, LY3074828</t>
  </si>
  <si>
    <t>P.E. % of participants achieving endoscopic response</t>
  </si>
  <si>
    <t>P.E. % of participants who simultaneously achieve clinical remission by CDAI</t>
  </si>
  <si>
    <t>% of participants in clinical remission</t>
  </si>
  <si>
    <t>% of participants who simultaneously achieve clinical remission and at least 10% weight reduction</t>
  </si>
  <si>
    <t>olomorasib</t>
  </si>
  <si>
    <t>NSCLC</t>
  </si>
  <si>
    <t>LY3537982</t>
  </si>
  <si>
    <t>Phase III "SUNRAY-01" in NSCLC n=1016 NCT:NCT06119581</t>
  </si>
  <si>
    <t>Phase I/II "" in KRAS-G12C n=540 NCT:NCT04956640</t>
  </si>
  <si>
    <t>Phase III "SUNRAY-02" in resected or unresectable KRAS G12C-mutant NSCLC n=700 NCT:NCT06890598</t>
  </si>
  <si>
    <t>P.E. DFS at 48 months &amp; PFS per RECIST by BICR at 3 years</t>
  </si>
  <si>
    <t>P.E. dose optimization and safety &amp; number of participants w/ TEAE</t>
  </si>
  <si>
    <t>P.E. Phase 1a to determine recommended phase 2 dose (RP2D) monotherapy</t>
  </si>
  <si>
    <t>What pipeline drugs are worth investigating? (high revenue, good data)</t>
  </si>
  <si>
    <t>Obesity, Type 2 Diabetes, OSA</t>
  </si>
  <si>
    <t>CLL, MCL, ITP</t>
  </si>
  <si>
    <t>Obesity, Type 2 Diabetes, Chronic Kidney Disease</t>
  </si>
  <si>
    <t>NSCLC, Medullary Thyroid Cancer</t>
  </si>
  <si>
    <t>Psoriasis, Psoriatic Arthritis</t>
  </si>
  <si>
    <t>Obesity, Type 2 Diabetes, CKD, Type 1 Diabetes</t>
  </si>
  <si>
    <t>Breast Cancer, Breast Neoplasm</t>
  </si>
  <si>
    <t>Obesity</t>
  </si>
  <si>
    <t>Obesity, Hypertension</t>
  </si>
  <si>
    <t>Obesity, Alchohol Use Disorder</t>
  </si>
  <si>
    <t>Non-Alcoholic Fatty Liver Disease</t>
  </si>
  <si>
    <t>MS, RA</t>
  </si>
  <si>
    <t>Plaque Psoriasis</t>
  </si>
  <si>
    <t>Hidradenitis Suppurativa, Ulcerative Colitis</t>
  </si>
  <si>
    <t>Ulcerative Colitis, Crohn's Disease</t>
  </si>
  <si>
    <t>RA</t>
  </si>
  <si>
    <t>Vestibular Schwannoma</t>
  </si>
  <si>
    <t>Parkinson's, Gaucher Disease</t>
  </si>
  <si>
    <t>Frontotemporal Dementia</t>
  </si>
  <si>
    <t>OTOF-mediated hearing loss</t>
  </si>
  <si>
    <t>Parkinson's</t>
  </si>
  <si>
    <t>Prostate Cancer</t>
  </si>
  <si>
    <t>Urinary Bladder Neoplasms</t>
  </si>
  <si>
    <t>Ovarian Neoplasms</t>
  </si>
  <si>
    <t>Pancreatic Ductal Adenocarcinoma</t>
  </si>
  <si>
    <t>Metastatic Solid Tumor</t>
  </si>
  <si>
    <t>Breast Cancer</t>
  </si>
  <si>
    <t>Neuropathic Pain</t>
  </si>
  <si>
    <t>Diabetic Peripheral Neuropathy</t>
  </si>
  <si>
    <t>Ozempic</t>
  </si>
  <si>
    <t>NVO</t>
  </si>
  <si>
    <t>LLY</t>
  </si>
  <si>
    <t>Saxenda</t>
  </si>
  <si>
    <t>Wegovy</t>
  </si>
  <si>
    <t>Rybelsus</t>
  </si>
  <si>
    <t>Victoza</t>
  </si>
  <si>
    <t>liraglutide</t>
  </si>
  <si>
    <t>semaglutide</t>
  </si>
  <si>
    <t>tirzepatide</t>
  </si>
  <si>
    <t>Q1 ER Call</t>
  </si>
  <si>
    <t>"deep into a replacement cycle tirzepatide most of market"</t>
  </si>
  <si>
    <t>Hypertension, Obesity, Type 2 Diabetes</t>
  </si>
  <si>
    <t>GLP-1 agonist</t>
  </si>
  <si>
    <t>orforglipron oral GLP-1 launch</t>
  </si>
  <si>
    <t>oral manufacturing easier to scale and wider reach to patients</t>
  </si>
  <si>
    <t>orforglipron pricing power:</t>
  </si>
  <si>
    <t>"less flow into the channel more transparent pricing"</t>
  </si>
  <si>
    <t>semaglutide vs tirzepatide efficacy analysis; best competitors? In trials and released?</t>
  </si>
  <si>
    <t>60% slowing in progressing as per management confrence call</t>
  </si>
  <si>
    <t xml:space="preserve"> </t>
  </si>
  <si>
    <t>Treated est.</t>
  </si>
  <si>
    <t>non-GLP1 revenues worth maybe 200B in total?</t>
  </si>
  <si>
    <t>~treating 100m people (~70% of TAM) in total maybe people take GLP-1 multiple times or other people enter the TAM. Very dynamic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</si>
</sst>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1"/>
    <xf numFmtId="0" fontId="1" fillId="0" borderId="0" xfId="0" applyFont="1"/>
    <xf numFmtId="3" fontId="2" fillId="0" borderId="0" xfId="1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" xfId="1" applyBorder="1"/>
    <xf numFmtId="14" fontId="0" fillId="0" borderId="0" xfId="0" applyNumberFormat="1"/>
    <xf numFmtId="0" fontId="3" fillId="0" borderId="0" xfId="0" applyFont="1"/>
    <xf numFmtId="38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4" xfId="0" applyNumberFormat="1" applyBorder="1" applyAlignment="1">
      <alignment horizontal="center"/>
    </xf>
    <xf numFmtId="17" fontId="0" fillId="0" borderId="0" xfId="0" applyNumberFormat="1"/>
    <xf numFmtId="0" fontId="2" fillId="0" borderId="1" xfId="1" applyFill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65942</xdr:rowOff>
    </xdr:from>
    <xdr:to>
      <xdr:col>7</xdr:col>
      <xdr:colOff>0</xdr:colOff>
      <xdr:row>67</xdr:row>
      <xdr:rowOff>131885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3153FC9-E82E-C612-E669-B798AF9FA040}"/>
            </a:ext>
          </a:extLst>
        </xdr:cNvPr>
        <xdr:cNvCxnSpPr/>
      </xdr:nvCxnSpPr>
      <xdr:spPr>
        <a:xfrm>
          <a:off x="4586654" y="65942"/>
          <a:ext cx="0" cy="844794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</xdr:colOff>
      <xdr:row>0</xdr:row>
      <xdr:rowOff>0</xdr:rowOff>
    </xdr:from>
    <xdr:to>
      <xdr:col>16</xdr:col>
      <xdr:colOff>1</xdr:colOff>
      <xdr:row>51</xdr:row>
      <xdr:rowOff>36635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4AD8E94-9E65-4833-989F-04F41C4DD1B5}"/>
            </a:ext>
          </a:extLst>
        </xdr:cNvPr>
        <xdr:cNvCxnSpPr/>
      </xdr:nvCxnSpPr>
      <xdr:spPr>
        <a:xfrm>
          <a:off x="10059866" y="0"/>
          <a:ext cx="0" cy="793505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65941</xdr:colOff>
      <xdr:row>95</xdr:row>
      <xdr:rowOff>4475</xdr:rowOff>
    </xdr:from>
    <xdr:to>
      <xdr:col>9</xdr:col>
      <xdr:colOff>495579</xdr:colOff>
      <xdr:row>103</xdr:row>
      <xdr:rowOff>117230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4FCF56D-E764-3630-B001-26D10E786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1922" y="14995360"/>
          <a:ext cx="4752522" cy="14022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49742</xdr:colOff>
      <xdr:row>35</xdr:row>
      <xdr:rowOff>21979</xdr:rowOff>
    </xdr:from>
    <xdr:to>
      <xdr:col>8</xdr:col>
      <xdr:colOff>55134</xdr:colOff>
      <xdr:row>48</xdr:row>
      <xdr:rowOff>140378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064993-F141-0D29-529E-C629B8E532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80" y="5663710"/>
          <a:ext cx="4657989" cy="2213899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98EFBBC1-5F71-4714-B1FB-1E2DFC825096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7" dT="2025-07-27T04:33:05.47" personId="{98EFBBC1-5F71-4714-B1FB-1E2DFC825096}" id="{870D49C2-D2BC-4507-9362-BAC854248C6B}">
    <text>2025 guidance 58-61B as per Q125 presentation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B04E-7193-4895-997B-E4F4972CD4A5}">
  <dimension ref="B2:L96"/>
  <sheetViews>
    <sheetView zoomScaleNormal="100" workbookViewId="0">
      <selection activeCell="K4" sqref="K4"/>
    </sheetView>
  </sheetViews>
  <sheetFormatPr defaultRowHeight="12.75" x14ac:dyDescent="0.2"/>
  <cols>
    <col min="1" max="1" width="3" customWidth="1"/>
    <col min="2" max="2" width="33.85546875" bestFit="1" customWidth="1"/>
    <col min="3" max="3" width="22.5703125" bestFit="1" customWidth="1"/>
    <col min="4" max="4" width="10.140625" bestFit="1" customWidth="1"/>
    <col min="5" max="5" width="14.7109375" customWidth="1"/>
    <col min="6" max="6" width="10.28515625" bestFit="1" customWidth="1"/>
    <col min="8" max="8" width="4.42578125" customWidth="1"/>
    <col min="9" max="9" width="4.5703125" customWidth="1"/>
  </cols>
  <sheetData>
    <row r="2" spans="2:12" x14ac:dyDescent="0.2">
      <c r="B2" s="21" t="s">
        <v>6</v>
      </c>
      <c r="C2" s="19" t="s">
        <v>7</v>
      </c>
      <c r="D2" s="19" t="s">
        <v>9</v>
      </c>
      <c r="E2" s="19" t="s">
        <v>10</v>
      </c>
      <c r="F2" s="19" t="s">
        <v>11</v>
      </c>
      <c r="G2" s="22" t="s">
        <v>12</v>
      </c>
    </row>
    <row r="3" spans="2:12" x14ac:dyDescent="0.2">
      <c r="B3" s="23" t="s">
        <v>179</v>
      </c>
      <c r="C3" t="s">
        <v>241</v>
      </c>
      <c r="D3" s="27">
        <v>44694</v>
      </c>
      <c r="G3" s="12"/>
      <c r="J3" t="s">
        <v>0</v>
      </c>
      <c r="K3" s="1">
        <v>685</v>
      </c>
    </row>
    <row r="4" spans="2:12" x14ac:dyDescent="0.2">
      <c r="B4" s="23" t="s">
        <v>180</v>
      </c>
      <c r="D4" s="27">
        <v>45238</v>
      </c>
      <c r="G4" s="12"/>
      <c r="J4" t="s">
        <v>1</v>
      </c>
      <c r="K4" s="2">
        <f>947.735</f>
        <v>947.73500000000001</v>
      </c>
      <c r="L4" t="s">
        <v>13</v>
      </c>
    </row>
    <row r="5" spans="2:12" x14ac:dyDescent="0.2">
      <c r="B5" s="11" t="s">
        <v>181</v>
      </c>
      <c r="D5" s="27">
        <v>43370</v>
      </c>
      <c r="G5" s="12"/>
      <c r="J5" t="s">
        <v>2</v>
      </c>
      <c r="K5" s="2">
        <f>K4*K3</f>
        <v>649198.47499999998</v>
      </c>
    </row>
    <row r="6" spans="2:12" x14ac:dyDescent="0.2">
      <c r="B6" s="11" t="s">
        <v>182</v>
      </c>
      <c r="C6" t="s">
        <v>300</v>
      </c>
      <c r="D6" s="27">
        <v>44953</v>
      </c>
      <c r="G6" s="12"/>
      <c r="J6" t="s">
        <v>3</v>
      </c>
      <c r="K6" s="2">
        <f>3093+127</f>
        <v>3220</v>
      </c>
      <c r="L6" t="s">
        <v>13</v>
      </c>
    </row>
    <row r="7" spans="2:12" x14ac:dyDescent="0.2">
      <c r="B7" s="11" t="s">
        <v>183</v>
      </c>
      <c r="C7" t="s">
        <v>302</v>
      </c>
      <c r="D7" s="27">
        <v>43959</v>
      </c>
      <c r="G7" s="12"/>
      <c r="J7" t="s">
        <v>4</v>
      </c>
      <c r="K7" s="2">
        <f>4016+34499</f>
        <v>38515</v>
      </c>
      <c r="L7" t="s">
        <v>13</v>
      </c>
    </row>
    <row r="8" spans="2:12" x14ac:dyDescent="0.2">
      <c r="B8" s="11" t="s">
        <v>184</v>
      </c>
      <c r="D8" s="27">
        <v>43251</v>
      </c>
      <c r="G8" s="12"/>
      <c r="J8" t="s">
        <v>5</v>
      </c>
      <c r="K8" s="2">
        <f>K5+K7-K6</f>
        <v>684493.47499999998</v>
      </c>
    </row>
    <row r="9" spans="2:12" x14ac:dyDescent="0.2">
      <c r="B9" s="23" t="s">
        <v>185</v>
      </c>
      <c r="C9" t="s">
        <v>246</v>
      </c>
      <c r="D9" s="27">
        <v>45225</v>
      </c>
      <c r="G9" s="12"/>
      <c r="K9" s="2"/>
    </row>
    <row r="10" spans="2:12" x14ac:dyDescent="0.2">
      <c r="B10" s="11" t="s">
        <v>186</v>
      </c>
      <c r="D10" s="27">
        <v>43749</v>
      </c>
      <c r="G10" s="12"/>
      <c r="J10" t="s">
        <v>117</v>
      </c>
      <c r="K10" s="2"/>
    </row>
    <row r="11" spans="2:12" x14ac:dyDescent="0.2">
      <c r="B11" s="11" t="s">
        <v>187</v>
      </c>
      <c r="D11" s="27">
        <v>43997</v>
      </c>
      <c r="G11" s="12"/>
      <c r="J11" t="s">
        <v>124</v>
      </c>
      <c r="K11" s="2"/>
    </row>
    <row r="12" spans="2:12" x14ac:dyDescent="0.2">
      <c r="B12" s="30" t="s">
        <v>215</v>
      </c>
      <c r="C12" t="s">
        <v>218</v>
      </c>
      <c r="D12" s="27">
        <v>45475</v>
      </c>
      <c r="G12" s="12"/>
      <c r="K12" s="2"/>
    </row>
    <row r="13" spans="2:12" x14ac:dyDescent="0.2">
      <c r="B13" s="11" t="s">
        <v>188</v>
      </c>
      <c r="D13" s="27">
        <v>45548</v>
      </c>
      <c r="G13" s="12"/>
      <c r="J13" s="5" t="s">
        <v>115</v>
      </c>
      <c r="K13" s="2"/>
    </row>
    <row r="14" spans="2:12" x14ac:dyDescent="0.2">
      <c r="B14" s="11" t="s">
        <v>189</v>
      </c>
      <c r="D14" s="27">
        <v>39955</v>
      </c>
      <c r="G14" s="12"/>
      <c r="J14" t="s">
        <v>110</v>
      </c>
      <c r="K14" s="2"/>
    </row>
    <row r="15" spans="2:12" x14ac:dyDescent="0.2">
      <c r="B15" s="11" t="s">
        <v>190</v>
      </c>
      <c r="D15" s="27">
        <v>38021</v>
      </c>
      <c r="G15" s="12"/>
      <c r="J15" t="s">
        <v>111</v>
      </c>
      <c r="K15" s="2"/>
    </row>
    <row r="16" spans="2:12" x14ac:dyDescent="0.2">
      <c r="B16" s="11" t="s">
        <v>191</v>
      </c>
      <c r="D16" s="27">
        <v>41005</v>
      </c>
      <c r="G16" s="12"/>
      <c r="J16" t="s">
        <v>298</v>
      </c>
      <c r="K16" s="2"/>
    </row>
    <row r="17" spans="2:11" x14ac:dyDescent="0.2">
      <c r="B17" s="11" t="s">
        <v>192</v>
      </c>
      <c r="D17" s="27">
        <v>43670</v>
      </c>
      <c r="G17" s="12"/>
      <c r="J17" t="s">
        <v>346</v>
      </c>
      <c r="K17" s="2"/>
    </row>
    <row r="18" spans="2:11" x14ac:dyDescent="0.2">
      <c r="B18" s="11" t="s">
        <v>193</v>
      </c>
      <c r="D18" s="27">
        <v>42354</v>
      </c>
      <c r="G18" s="12"/>
      <c r="K18" s="2"/>
    </row>
    <row r="19" spans="2:11" x14ac:dyDescent="0.2">
      <c r="B19" s="11" t="s">
        <v>239</v>
      </c>
      <c r="D19" s="27">
        <v>41750</v>
      </c>
      <c r="G19" s="12"/>
      <c r="J19" s="25" t="s">
        <v>208</v>
      </c>
      <c r="K19" s="2"/>
    </row>
    <row r="20" spans="2:11" x14ac:dyDescent="0.2">
      <c r="B20" s="11" t="s">
        <v>194</v>
      </c>
      <c r="D20" s="27">
        <v>38029</v>
      </c>
      <c r="G20" s="12"/>
      <c r="J20" t="s">
        <v>221</v>
      </c>
      <c r="K20" s="2"/>
    </row>
    <row r="21" spans="2:11" x14ac:dyDescent="0.2">
      <c r="B21" s="11" t="s">
        <v>195</v>
      </c>
      <c r="D21" s="27">
        <v>37586</v>
      </c>
      <c r="G21" s="12"/>
      <c r="K21" s="2"/>
    </row>
    <row r="22" spans="2:11" x14ac:dyDescent="0.2">
      <c r="B22" s="11" t="s">
        <v>240</v>
      </c>
      <c r="D22" s="27">
        <v>42034</v>
      </c>
      <c r="G22" s="12"/>
      <c r="K22" s="2"/>
    </row>
    <row r="23" spans="2:11" x14ac:dyDescent="0.2">
      <c r="B23" s="11" t="s">
        <v>196</v>
      </c>
      <c r="D23" s="27">
        <v>35230</v>
      </c>
      <c r="G23" s="12"/>
      <c r="J23" t="s">
        <v>235</v>
      </c>
      <c r="K23" s="2"/>
    </row>
    <row r="24" spans="2:11" x14ac:dyDescent="0.2">
      <c r="B24" s="11" t="s">
        <v>197</v>
      </c>
      <c r="D24" s="27">
        <v>31701</v>
      </c>
      <c r="G24" s="12"/>
      <c r="K24" s="2"/>
    </row>
    <row r="25" spans="2:11" x14ac:dyDescent="0.2">
      <c r="B25" s="11" t="s">
        <v>198</v>
      </c>
      <c r="D25" s="27">
        <v>32623</v>
      </c>
      <c r="G25" s="12"/>
      <c r="K25" s="2"/>
    </row>
    <row r="26" spans="2:11" x14ac:dyDescent="0.2">
      <c r="B26" s="11" t="s">
        <v>199</v>
      </c>
      <c r="D26" s="27">
        <v>41852</v>
      </c>
      <c r="G26" s="12"/>
      <c r="J26" s="25" t="s">
        <v>338</v>
      </c>
      <c r="K26" s="2"/>
    </row>
    <row r="27" spans="2:11" x14ac:dyDescent="0.2">
      <c r="B27" s="11" t="s">
        <v>200</v>
      </c>
      <c r="D27" s="27">
        <v>40938</v>
      </c>
      <c r="G27" s="12"/>
      <c r="J27" t="s">
        <v>339</v>
      </c>
      <c r="K27" s="2"/>
    </row>
    <row r="28" spans="2:11" x14ac:dyDescent="0.2">
      <c r="B28" s="11" t="s">
        <v>201</v>
      </c>
      <c r="D28" s="27">
        <v>42242</v>
      </c>
      <c r="G28" s="12"/>
      <c r="J28" t="s">
        <v>342</v>
      </c>
      <c r="K28" s="2"/>
    </row>
    <row r="29" spans="2:11" x14ac:dyDescent="0.2">
      <c r="B29" s="11" t="s">
        <v>202</v>
      </c>
      <c r="C29" t="s">
        <v>303</v>
      </c>
      <c r="D29" s="27">
        <v>42451</v>
      </c>
      <c r="G29" s="12"/>
      <c r="K29" s="2"/>
    </row>
    <row r="30" spans="2:11" x14ac:dyDescent="0.2">
      <c r="B30" s="11" t="s">
        <v>203</v>
      </c>
      <c r="D30" s="27">
        <v>43979</v>
      </c>
      <c r="G30" s="12"/>
      <c r="J30" t="s">
        <v>343</v>
      </c>
      <c r="K30" s="2"/>
    </row>
    <row r="31" spans="2:11" x14ac:dyDescent="0.2">
      <c r="B31" s="11" t="s">
        <v>204</v>
      </c>
      <c r="D31" s="27">
        <v>40665</v>
      </c>
      <c r="G31" s="12"/>
      <c r="K31" s="2"/>
    </row>
    <row r="32" spans="2:11" x14ac:dyDescent="0.2">
      <c r="B32" s="23" t="s">
        <v>205</v>
      </c>
      <c r="D32" s="27">
        <v>45553</v>
      </c>
      <c r="G32" s="12"/>
      <c r="J32" t="s">
        <v>344</v>
      </c>
      <c r="K32" s="2"/>
    </row>
    <row r="33" spans="2:11" x14ac:dyDescent="0.2">
      <c r="B33" s="11" t="s">
        <v>206</v>
      </c>
      <c r="C33" t="s">
        <v>305</v>
      </c>
      <c r="D33" s="27">
        <v>43006</v>
      </c>
      <c r="G33" s="12"/>
      <c r="J33" t="s">
        <v>345</v>
      </c>
      <c r="K33" s="2"/>
    </row>
    <row r="34" spans="2:11" x14ac:dyDescent="0.2">
      <c r="B34" s="13" t="s">
        <v>207</v>
      </c>
      <c r="C34" s="14"/>
      <c r="D34" s="28">
        <v>35338</v>
      </c>
      <c r="E34" s="14"/>
      <c r="F34" s="14"/>
      <c r="G34" s="16"/>
      <c r="K34" s="2"/>
    </row>
    <row r="35" spans="2:11" x14ac:dyDescent="0.2">
      <c r="B35" s="17"/>
      <c r="C35" s="18"/>
      <c r="D35" s="19" t="s">
        <v>8</v>
      </c>
      <c r="E35" s="18"/>
      <c r="F35" s="18"/>
      <c r="G35" s="20"/>
    </row>
    <row r="36" spans="2:11" x14ac:dyDescent="0.2">
      <c r="B36" s="11" t="s">
        <v>125</v>
      </c>
      <c r="D36" s="3" t="s">
        <v>116</v>
      </c>
      <c r="G36" s="12"/>
    </row>
    <row r="37" spans="2:11" x14ac:dyDescent="0.2">
      <c r="B37" s="23" t="s">
        <v>126</v>
      </c>
      <c r="C37" t="s">
        <v>245</v>
      </c>
      <c r="D37" s="3" t="s">
        <v>116</v>
      </c>
      <c r="G37" s="12"/>
    </row>
    <row r="38" spans="2:11" x14ac:dyDescent="0.2">
      <c r="B38" s="11" t="s">
        <v>127</v>
      </c>
      <c r="C38" t="s">
        <v>241</v>
      </c>
      <c r="D38" s="3" t="s">
        <v>116</v>
      </c>
      <c r="G38" s="12"/>
    </row>
    <row r="39" spans="2:11" x14ac:dyDescent="0.2">
      <c r="B39" s="23" t="s">
        <v>128</v>
      </c>
      <c r="D39" s="3" t="s">
        <v>116</v>
      </c>
      <c r="G39" s="12"/>
    </row>
    <row r="40" spans="2:11" x14ac:dyDescent="0.2">
      <c r="B40" s="23" t="s">
        <v>129</v>
      </c>
      <c r="C40" t="s">
        <v>242</v>
      </c>
      <c r="D40" s="3" t="s">
        <v>116</v>
      </c>
      <c r="G40" s="12"/>
    </row>
    <row r="41" spans="2:11" x14ac:dyDescent="0.2">
      <c r="B41" s="23" t="s">
        <v>112</v>
      </c>
      <c r="C41" t="s">
        <v>244</v>
      </c>
      <c r="D41" s="3" t="s">
        <v>116</v>
      </c>
      <c r="G41" s="12"/>
    </row>
    <row r="42" spans="2:11" x14ac:dyDescent="0.2">
      <c r="B42" s="23" t="s">
        <v>114</v>
      </c>
      <c r="C42" t="s">
        <v>340</v>
      </c>
      <c r="D42" s="3" t="s">
        <v>116</v>
      </c>
      <c r="E42" t="s">
        <v>341</v>
      </c>
      <c r="G42" s="12"/>
    </row>
    <row r="43" spans="2:11" x14ac:dyDescent="0.2">
      <c r="B43" s="11" t="s">
        <v>130</v>
      </c>
      <c r="C43" t="s">
        <v>218</v>
      </c>
      <c r="D43" s="3" t="s">
        <v>116</v>
      </c>
      <c r="G43" s="12"/>
    </row>
    <row r="44" spans="2:11" x14ac:dyDescent="0.2">
      <c r="B44" s="23" t="s">
        <v>131</v>
      </c>
      <c r="C44" t="s">
        <v>301</v>
      </c>
      <c r="D44" s="3" t="s">
        <v>116</v>
      </c>
      <c r="G44" s="12"/>
    </row>
    <row r="45" spans="2:11" x14ac:dyDescent="0.2">
      <c r="B45" s="11" t="s">
        <v>132</v>
      </c>
      <c r="D45" s="3" t="s">
        <v>116</v>
      </c>
      <c r="G45" s="12"/>
    </row>
    <row r="46" spans="2:11" x14ac:dyDescent="0.2">
      <c r="B46" s="11" t="s">
        <v>113</v>
      </c>
      <c r="C46" t="s">
        <v>304</v>
      </c>
      <c r="D46" s="3" t="s">
        <v>116</v>
      </c>
      <c r="G46" s="12"/>
    </row>
    <row r="47" spans="2:11" x14ac:dyDescent="0.2">
      <c r="B47" s="11" t="s">
        <v>133</v>
      </c>
      <c r="C47" t="s">
        <v>306</v>
      </c>
      <c r="D47" s="3" t="s">
        <v>152</v>
      </c>
      <c r="E47" t="s">
        <v>230</v>
      </c>
      <c r="G47" s="12"/>
    </row>
    <row r="48" spans="2:11" x14ac:dyDescent="0.2">
      <c r="B48" s="11" t="s">
        <v>134</v>
      </c>
      <c r="C48" t="s">
        <v>310</v>
      </c>
      <c r="D48" s="3" t="s">
        <v>152</v>
      </c>
      <c r="G48" s="12"/>
    </row>
    <row r="49" spans="2:7" x14ac:dyDescent="0.2">
      <c r="B49" s="11" t="s">
        <v>135</v>
      </c>
      <c r="C49" t="s">
        <v>306</v>
      </c>
      <c r="D49" s="3" t="s">
        <v>152</v>
      </c>
      <c r="G49" s="12"/>
    </row>
    <row r="50" spans="2:7" x14ac:dyDescent="0.2">
      <c r="B50" s="11" t="s">
        <v>136</v>
      </c>
      <c r="C50" t="s">
        <v>312</v>
      </c>
      <c r="D50" s="3" t="s">
        <v>152</v>
      </c>
      <c r="G50" s="12"/>
    </row>
    <row r="51" spans="2:7" x14ac:dyDescent="0.2">
      <c r="B51" s="11" t="s">
        <v>137</v>
      </c>
      <c r="C51" t="s">
        <v>326</v>
      </c>
      <c r="D51" s="3" t="s">
        <v>152</v>
      </c>
      <c r="G51" s="12"/>
    </row>
    <row r="52" spans="2:7" x14ac:dyDescent="0.2">
      <c r="B52" s="11" t="s">
        <v>138</v>
      </c>
      <c r="C52" t="s">
        <v>316</v>
      </c>
      <c r="D52" s="3" t="s">
        <v>152</v>
      </c>
      <c r="G52" s="12"/>
    </row>
    <row r="53" spans="2:7" x14ac:dyDescent="0.2">
      <c r="B53" s="11" t="s">
        <v>139</v>
      </c>
      <c r="C53" t="s">
        <v>306</v>
      </c>
      <c r="D53" s="3" t="s">
        <v>152</v>
      </c>
      <c r="G53" s="12"/>
    </row>
    <row r="54" spans="2:7" x14ac:dyDescent="0.2">
      <c r="B54" s="11" t="s">
        <v>140</v>
      </c>
      <c r="C54" t="s">
        <v>317</v>
      </c>
      <c r="D54" s="3" t="s">
        <v>152</v>
      </c>
      <c r="G54" s="12"/>
    </row>
    <row r="55" spans="2:7" x14ac:dyDescent="0.2">
      <c r="B55" s="11" t="s">
        <v>141</v>
      </c>
      <c r="C55" t="s">
        <v>311</v>
      </c>
      <c r="D55" s="3" t="s">
        <v>152</v>
      </c>
      <c r="G55" s="12"/>
    </row>
    <row r="56" spans="2:7" x14ac:dyDescent="0.2">
      <c r="B56" s="11" t="s">
        <v>142</v>
      </c>
      <c r="C56" t="s">
        <v>308</v>
      </c>
      <c r="D56" s="3" t="s">
        <v>152</v>
      </c>
      <c r="G56" s="12"/>
    </row>
    <row r="57" spans="2:7" x14ac:dyDescent="0.2">
      <c r="B57" s="11" t="s">
        <v>143</v>
      </c>
      <c r="C57" t="s">
        <v>327</v>
      </c>
      <c r="D57" s="3" t="s">
        <v>152</v>
      </c>
      <c r="G57" s="12"/>
    </row>
    <row r="58" spans="2:7" x14ac:dyDescent="0.2">
      <c r="B58" s="11" t="s">
        <v>144</v>
      </c>
      <c r="C58" t="s">
        <v>218</v>
      </c>
      <c r="D58" s="3" t="s">
        <v>152</v>
      </c>
      <c r="G58" s="12"/>
    </row>
    <row r="59" spans="2:7" x14ac:dyDescent="0.2">
      <c r="B59" s="11" t="s">
        <v>145</v>
      </c>
      <c r="C59" t="s">
        <v>313</v>
      </c>
      <c r="D59" s="3" t="s">
        <v>152</v>
      </c>
      <c r="G59" s="12"/>
    </row>
    <row r="60" spans="2:7" x14ac:dyDescent="0.2">
      <c r="B60" s="11" t="s">
        <v>146</v>
      </c>
      <c r="C60" t="s">
        <v>242</v>
      </c>
      <c r="D60" s="3" t="s">
        <v>243</v>
      </c>
      <c r="G60" s="12"/>
    </row>
    <row r="61" spans="2:7" x14ac:dyDescent="0.2">
      <c r="B61" s="11" t="s">
        <v>147</v>
      </c>
      <c r="C61" t="s">
        <v>314</v>
      </c>
      <c r="D61" s="3" t="s">
        <v>152</v>
      </c>
      <c r="G61" s="12"/>
    </row>
    <row r="62" spans="2:7" x14ac:dyDescent="0.2">
      <c r="B62" s="11" t="s">
        <v>148</v>
      </c>
      <c r="C62" t="s">
        <v>318</v>
      </c>
      <c r="D62" s="3" t="s">
        <v>152</v>
      </c>
      <c r="G62" s="12"/>
    </row>
    <row r="63" spans="2:7" x14ac:dyDescent="0.2">
      <c r="B63" s="11" t="s">
        <v>149</v>
      </c>
      <c r="D63" s="3" t="s">
        <v>152</v>
      </c>
      <c r="G63" s="12"/>
    </row>
    <row r="64" spans="2:7" x14ac:dyDescent="0.2">
      <c r="B64" s="11" t="s">
        <v>150</v>
      </c>
      <c r="C64" t="s">
        <v>311</v>
      </c>
      <c r="D64" s="3" t="s">
        <v>152</v>
      </c>
      <c r="G64" s="12"/>
    </row>
    <row r="65" spans="2:7" x14ac:dyDescent="0.2">
      <c r="B65" s="11" t="s">
        <v>151</v>
      </c>
      <c r="D65" s="3" t="s">
        <v>152</v>
      </c>
      <c r="G65" s="12"/>
    </row>
    <row r="66" spans="2:7" x14ac:dyDescent="0.2">
      <c r="B66" s="11" t="s">
        <v>153</v>
      </c>
      <c r="C66" t="s">
        <v>320</v>
      </c>
      <c r="D66" s="3" t="s">
        <v>178</v>
      </c>
      <c r="G66" s="12"/>
    </row>
    <row r="67" spans="2:7" x14ac:dyDescent="0.2">
      <c r="B67" s="11" t="s">
        <v>154</v>
      </c>
      <c r="C67" t="s">
        <v>315</v>
      </c>
      <c r="D67" s="3" t="s">
        <v>178</v>
      </c>
      <c r="G67" s="12"/>
    </row>
    <row r="68" spans="2:7" x14ac:dyDescent="0.2">
      <c r="B68" s="11" t="s">
        <v>155</v>
      </c>
      <c r="D68" s="3" t="s">
        <v>178</v>
      </c>
      <c r="G68" s="12"/>
    </row>
    <row r="69" spans="2:7" x14ac:dyDescent="0.2">
      <c r="B69" s="11" t="s">
        <v>156</v>
      </c>
      <c r="C69" t="s">
        <v>321</v>
      </c>
      <c r="D69" s="3" t="s">
        <v>178</v>
      </c>
      <c r="G69" s="12"/>
    </row>
    <row r="70" spans="2:7" x14ac:dyDescent="0.2">
      <c r="B70" s="11" t="s">
        <v>157</v>
      </c>
      <c r="C70" t="s">
        <v>322</v>
      </c>
      <c r="D70" s="3" t="s">
        <v>178</v>
      </c>
      <c r="G70" s="12"/>
    </row>
    <row r="71" spans="2:7" x14ac:dyDescent="0.2">
      <c r="B71" s="11" t="s">
        <v>158</v>
      </c>
      <c r="D71" s="3" t="s">
        <v>178</v>
      </c>
      <c r="G71" s="12"/>
    </row>
    <row r="72" spans="2:7" x14ac:dyDescent="0.2">
      <c r="B72" s="11" t="s">
        <v>159</v>
      </c>
      <c r="C72" t="s">
        <v>306</v>
      </c>
      <c r="D72" s="3" t="s">
        <v>178</v>
      </c>
      <c r="G72" s="12"/>
    </row>
    <row r="73" spans="2:7" x14ac:dyDescent="0.2">
      <c r="B73" s="11" t="s">
        <v>160</v>
      </c>
      <c r="D73" s="3" t="s">
        <v>178</v>
      </c>
      <c r="G73" s="12"/>
    </row>
    <row r="74" spans="2:7" x14ac:dyDescent="0.2">
      <c r="B74" s="11" t="s">
        <v>161</v>
      </c>
      <c r="C74" t="s">
        <v>306</v>
      </c>
      <c r="D74" s="3" t="s">
        <v>178</v>
      </c>
      <c r="G74" s="12"/>
    </row>
    <row r="75" spans="2:7" x14ac:dyDescent="0.2">
      <c r="B75" s="11" t="s">
        <v>162</v>
      </c>
      <c r="D75" s="3" t="s">
        <v>178</v>
      </c>
      <c r="G75" s="12"/>
    </row>
    <row r="76" spans="2:7" x14ac:dyDescent="0.2">
      <c r="B76" s="11" t="s">
        <v>163</v>
      </c>
      <c r="D76" s="3" t="s">
        <v>178</v>
      </c>
      <c r="G76" s="12"/>
    </row>
    <row r="77" spans="2:7" x14ac:dyDescent="0.2">
      <c r="B77" s="11" t="s">
        <v>164</v>
      </c>
      <c r="C77" t="s">
        <v>323</v>
      </c>
      <c r="D77" s="3" t="s">
        <v>178</v>
      </c>
      <c r="G77" s="12"/>
    </row>
    <row r="78" spans="2:7" x14ac:dyDescent="0.2">
      <c r="B78" s="11" t="s">
        <v>165</v>
      </c>
      <c r="C78" t="s">
        <v>307</v>
      </c>
      <c r="D78" s="3" t="s">
        <v>178</v>
      </c>
      <c r="G78" s="12"/>
    </row>
    <row r="79" spans="2:7" x14ac:dyDescent="0.2">
      <c r="B79" s="11" t="s">
        <v>166</v>
      </c>
      <c r="C79" t="s">
        <v>306</v>
      </c>
      <c r="D79" s="3" t="s">
        <v>178</v>
      </c>
      <c r="G79" s="12"/>
    </row>
    <row r="80" spans="2:7" x14ac:dyDescent="0.2">
      <c r="B80" s="11" t="s">
        <v>167</v>
      </c>
      <c r="C80" t="s">
        <v>218</v>
      </c>
      <c r="D80" s="3" t="s">
        <v>178</v>
      </c>
      <c r="G80" s="12"/>
    </row>
    <row r="81" spans="2:7" x14ac:dyDescent="0.2">
      <c r="B81" s="11" t="s">
        <v>168</v>
      </c>
      <c r="C81" t="s">
        <v>324</v>
      </c>
      <c r="D81" s="3" t="s">
        <v>178</v>
      </c>
      <c r="G81" s="12"/>
    </row>
    <row r="82" spans="2:7" x14ac:dyDescent="0.2">
      <c r="B82" s="11" t="s">
        <v>169</v>
      </c>
      <c r="D82" s="3" t="s">
        <v>178</v>
      </c>
      <c r="G82" s="12"/>
    </row>
    <row r="83" spans="2:7" x14ac:dyDescent="0.2">
      <c r="B83" s="11" t="s">
        <v>170</v>
      </c>
      <c r="C83" t="s">
        <v>241</v>
      </c>
      <c r="D83" s="3" t="s">
        <v>178</v>
      </c>
      <c r="G83" s="12"/>
    </row>
    <row r="84" spans="2:7" x14ac:dyDescent="0.2">
      <c r="B84" s="11" t="s">
        <v>171</v>
      </c>
      <c r="C84" t="s">
        <v>323</v>
      </c>
      <c r="D84" s="3" t="s">
        <v>178</v>
      </c>
      <c r="G84" s="12"/>
    </row>
    <row r="85" spans="2:7" x14ac:dyDescent="0.2">
      <c r="B85" s="11" t="s">
        <v>172</v>
      </c>
      <c r="C85" t="s">
        <v>325</v>
      </c>
      <c r="D85" s="3" t="s">
        <v>178</v>
      </c>
      <c r="G85" s="12"/>
    </row>
    <row r="86" spans="2:7" x14ac:dyDescent="0.2">
      <c r="B86" s="11" t="s">
        <v>173</v>
      </c>
      <c r="C86" t="s">
        <v>309</v>
      </c>
      <c r="D86" s="3" t="s">
        <v>178</v>
      </c>
      <c r="G86" s="12"/>
    </row>
    <row r="87" spans="2:7" x14ac:dyDescent="0.2">
      <c r="B87" s="11" t="s">
        <v>174</v>
      </c>
      <c r="D87" s="3" t="s">
        <v>178</v>
      </c>
      <c r="G87" s="12"/>
    </row>
    <row r="88" spans="2:7" x14ac:dyDescent="0.2">
      <c r="B88" s="11" t="s">
        <v>175</v>
      </c>
      <c r="D88" s="3" t="s">
        <v>178</v>
      </c>
      <c r="G88" s="12"/>
    </row>
    <row r="89" spans="2:7" x14ac:dyDescent="0.2">
      <c r="B89" s="11" t="s">
        <v>176</v>
      </c>
      <c r="C89" t="s">
        <v>324</v>
      </c>
      <c r="D89" s="3" t="s">
        <v>178</v>
      </c>
      <c r="G89" s="12"/>
    </row>
    <row r="90" spans="2:7" x14ac:dyDescent="0.2">
      <c r="B90" s="13" t="s">
        <v>177</v>
      </c>
      <c r="C90" s="14" t="s">
        <v>319</v>
      </c>
      <c r="D90" s="15" t="s">
        <v>178</v>
      </c>
      <c r="E90" s="14"/>
      <c r="F90" s="14"/>
      <c r="G90" s="16"/>
    </row>
    <row r="91" spans="2:7" x14ac:dyDescent="0.2">
      <c r="D91" s="3"/>
    </row>
    <row r="92" spans="2:7" x14ac:dyDescent="0.2">
      <c r="D92" s="3"/>
    </row>
    <row r="93" spans="2:7" x14ac:dyDescent="0.2">
      <c r="D93" s="3"/>
    </row>
    <row r="94" spans="2:7" x14ac:dyDescent="0.2">
      <c r="D94" s="3"/>
    </row>
    <row r="95" spans="2:7" x14ac:dyDescent="0.2">
      <c r="D95" s="3"/>
    </row>
    <row r="96" spans="2:7" x14ac:dyDescent="0.2">
      <c r="D96" s="3"/>
    </row>
  </sheetData>
  <hyperlinks>
    <hyperlink ref="B3" location="'Mounjaro-Zepbound'!A1" display="Mounjaro (tirzepatide)" xr:uid="{0C5F0B94-81CD-41B8-8260-29D7B5C2D50E}"/>
    <hyperlink ref="B4" location="'Mounjaro-Zepbound'!A1" display="Zepbound (tirzepatide)" xr:uid="{7C402F06-D760-48B4-BC4C-CCBE56412979}"/>
    <hyperlink ref="B32" location="Trulicity!A1" display="Trulicity (dulaglutide)" xr:uid="{FC20B418-153B-42B3-9A53-A3EA1B65F958}"/>
    <hyperlink ref="B42" location="orforglipron!A1" display="Orforglipron" xr:uid="{D0F7F558-38EC-402D-BBEB-C86D7717AA7D}"/>
    <hyperlink ref="B44" location="retratrutide!A1" display="Retatrutide" xr:uid="{2A09D526-D063-4409-93BE-774B02C727DC}"/>
    <hyperlink ref="B12" location="Kisunla!A1" display="Kisunla (donanemab-azbt)" xr:uid="{889E8E40-039A-475B-A62D-BB951C3F4C8B}"/>
    <hyperlink ref="B37" location="imlunestrant!A1" display="Imlunestrant" xr:uid="{7C4B9306-2548-42C6-AB30-3AFAF4A7AF72}"/>
    <hyperlink ref="B39" location="lebrikizumab!A1" display="Lebrikizumab" xr:uid="{A4704682-12B2-4334-B405-91540F1C9347}"/>
    <hyperlink ref="B40" location="lepodisiran!A1" display="Lepodisiran" xr:uid="{47ACDD19-D730-4CFE-8F93-97F2F94638EE}"/>
    <hyperlink ref="B9" location="mirikizumab!A1" display="Omvoh (mirikizumab-mrkz)" xr:uid="{E037DA28-FC78-43F4-A6E8-0D78AE3CE945}"/>
    <hyperlink ref="B41" location="olomorasib!A1" display="Olomorasib" xr:uid="{75058294-6EA6-4DFA-AE9A-6468C9C5B459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A6F6-DBF9-4590-B13F-B22EDCA5BB90}">
  <dimension ref="A1:C16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223</v>
      </c>
    </row>
    <row r="4" spans="1:3" x14ac:dyDescent="0.2">
      <c r="B4" t="s">
        <v>7</v>
      </c>
      <c r="C4" t="s">
        <v>299</v>
      </c>
    </row>
    <row r="5" spans="1:3" x14ac:dyDescent="0.2">
      <c r="B5" t="s">
        <v>10</v>
      </c>
      <c r="C5" t="s">
        <v>236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  <c r="C8" t="s">
        <v>237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222</v>
      </c>
    </row>
    <row r="12" spans="1:3" x14ac:dyDescent="0.2">
      <c r="C12" t="s">
        <v>238</v>
      </c>
    </row>
    <row r="15" spans="1:3" x14ac:dyDescent="0.2">
      <c r="C15" s="25" t="s">
        <v>225</v>
      </c>
    </row>
    <row r="16" spans="1:3" x14ac:dyDescent="0.2">
      <c r="C16" t="s">
        <v>226</v>
      </c>
    </row>
  </sheetData>
  <hyperlinks>
    <hyperlink ref="A1" location="Main!A1" display="Main" xr:uid="{CE51DBE6-8B44-4E87-A0EB-867BDF7E290B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463FF-A569-428F-A3AC-698CB3C8F0D4}">
  <dimension ref="A1:C12"/>
  <sheetViews>
    <sheetView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227</v>
      </c>
    </row>
    <row r="4" spans="1:3" x14ac:dyDescent="0.2">
      <c r="B4" t="s">
        <v>7</v>
      </c>
      <c r="C4" t="s">
        <v>224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228</v>
      </c>
    </row>
    <row r="12" spans="1:3" x14ac:dyDescent="0.2">
      <c r="C12" t="s">
        <v>229</v>
      </c>
    </row>
  </sheetData>
  <hyperlinks>
    <hyperlink ref="A1" location="Main!A1" display="Main" xr:uid="{A1418863-84F2-49C7-AA37-7BC877A9125B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C883-F550-49DC-8A22-C9EDC397F408}">
  <dimension ref="A1:C17"/>
  <sheetViews>
    <sheetView zoomScale="130" zoomScaleNormal="130" workbookViewId="0">
      <selection activeCell="B10" sqref="A1:B10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254</v>
      </c>
    </row>
    <row r="4" spans="1:3" x14ac:dyDescent="0.2">
      <c r="B4" t="s">
        <v>7</v>
      </c>
      <c r="C4" t="s">
        <v>257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255</v>
      </c>
    </row>
    <row r="12" spans="1:3" x14ac:dyDescent="0.2">
      <c r="C12" t="s">
        <v>258</v>
      </c>
    </row>
    <row r="13" spans="1:3" x14ac:dyDescent="0.2">
      <c r="C13" s="29">
        <v>46600</v>
      </c>
    </row>
    <row r="15" spans="1:3" x14ac:dyDescent="0.2">
      <c r="C15" s="25" t="s">
        <v>256</v>
      </c>
    </row>
    <row r="16" spans="1:3" x14ac:dyDescent="0.2">
      <c r="C16" t="s">
        <v>259</v>
      </c>
    </row>
    <row r="17" spans="3:3" x14ac:dyDescent="0.2">
      <c r="C17" s="29">
        <v>48274</v>
      </c>
    </row>
  </sheetData>
  <hyperlinks>
    <hyperlink ref="A1" location="Main!A1" display="Main" xr:uid="{4931E407-EDE6-48D9-916D-A8EE4E1011C2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6EB6-E7FB-48AF-BF3C-2B541E9E55CA}">
  <dimension ref="A1:C34"/>
  <sheetViews>
    <sheetView topLeftCell="A10" zoomScale="130" zoomScaleNormal="130" workbookViewId="0">
      <selection activeCell="B21" sqref="B21"/>
    </sheetView>
  </sheetViews>
  <sheetFormatPr defaultRowHeight="12.75" x14ac:dyDescent="0.2"/>
  <cols>
    <col min="1" max="1" width="5" bestFit="1" customWidth="1"/>
    <col min="2" max="2" width="15" bestFit="1" customWidth="1"/>
    <col min="3" max="3" width="11.4257812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261</v>
      </c>
    </row>
    <row r="3" spans="1:3" x14ac:dyDescent="0.2">
      <c r="B3" t="s">
        <v>36</v>
      </c>
      <c r="C3" t="s">
        <v>260</v>
      </c>
    </row>
    <row r="4" spans="1:3" x14ac:dyDescent="0.2">
      <c r="B4" t="s">
        <v>7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262</v>
      </c>
    </row>
    <row r="12" spans="1:3" x14ac:dyDescent="0.2">
      <c r="C12" t="s">
        <v>270</v>
      </c>
    </row>
    <row r="13" spans="1:3" x14ac:dyDescent="0.2">
      <c r="C13" s="29">
        <v>45689</v>
      </c>
    </row>
    <row r="14" spans="1:3" x14ac:dyDescent="0.2">
      <c r="C14" s="25" t="s">
        <v>263</v>
      </c>
    </row>
    <row r="15" spans="1:3" x14ac:dyDescent="0.2">
      <c r="C15" t="s">
        <v>271</v>
      </c>
    </row>
    <row r="16" spans="1:3" x14ac:dyDescent="0.2">
      <c r="C16" s="29">
        <v>45748</v>
      </c>
    </row>
    <row r="17" spans="3:3" x14ac:dyDescent="0.2">
      <c r="C17" s="25" t="s">
        <v>265</v>
      </c>
    </row>
    <row r="18" spans="3:3" x14ac:dyDescent="0.2">
      <c r="C18" t="s">
        <v>270</v>
      </c>
    </row>
    <row r="19" spans="3:3" x14ac:dyDescent="0.2">
      <c r="C19" s="29">
        <v>46419</v>
      </c>
    </row>
    <row r="20" spans="3:3" x14ac:dyDescent="0.2">
      <c r="C20" s="25" t="s">
        <v>264</v>
      </c>
    </row>
    <row r="21" spans="3:3" x14ac:dyDescent="0.2">
      <c r="C21" t="s">
        <v>271</v>
      </c>
    </row>
    <row r="22" spans="3:3" x14ac:dyDescent="0.2">
      <c r="C22" s="29">
        <v>46174</v>
      </c>
    </row>
    <row r="23" spans="3:3" x14ac:dyDescent="0.2">
      <c r="C23" s="25" t="s">
        <v>266</v>
      </c>
    </row>
    <row r="24" spans="3:3" x14ac:dyDescent="0.2">
      <c r="C24" t="s">
        <v>270</v>
      </c>
    </row>
    <row r="25" spans="3:3" x14ac:dyDescent="0.2">
      <c r="C25" s="29">
        <v>46327</v>
      </c>
    </row>
    <row r="26" spans="3:3" x14ac:dyDescent="0.2">
      <c r="C26" s="25" t="s">
        <v>267</v>
      </c>
    </row>
    <row r="27" spans="3:3" x14ac:dyDescent="0.2">
      <c r="C27" t="s">
        <v>272</v>
      </c>
    </row>
    <row r="28" spans="3:3" x14ac:dyDescent="0.2">
      <c r="C28" s="29">
        <v>46419</v>
      </c>
    </row>
    <row r="29" spans="3:3" x14ac:dyDescent="0.2">
      <c r="C29" s="25" t="s">
        <v>268</v>
      </c>
    </row>
    <row r="30" spans="3:3" x14ac:dyDescent="0.2">
      <c r="C30" t="s">
        <v>273</v>
      </c>
    </row>
    <row r="31" spans="3:3" x14ac:dyDescent="0.2">
      <c r="C31" s="29">
        <v>46266</v>
      </c>
    </row>
    <row r="32" spans="3:3" x14ac:dyDescent="0.2">
      <c r="C32" s="25" t="s">
        <v>269</v>
      </c>
    </row>
    <row r="33" spans="3:3" x14ac:dyDescent="0.2">
      <c r="C33" t="s">
        <v>274</v>
      </c>
    </row>
    <row r="34" spans="3:3" x14ac:dyDescent="0.2">
      <c r="C34" s="29">
        <v>46419</v>
      </c>
    </row>
  </sheetData>
  <hyperlinks>
    <hyperlink ref="A1" location="Main!A1" display="Main" xr:uid="{740889EA-F2D8-43F6-A503-19990B2EF81B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3556F-E243-45F0-BA15-3375F9F3D65A}">
  <dimension ref="A1:C13"/>
  <sheetViews>
    <sheetView zoomScale="130" zoomScaleNormal="130" workbookViewId="0">
      <selection activeCell="B10" sqref="A1:B10"/>
    </sheetView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</row>
    <row r="3" spans="1:3" x14ac:dyDescent="0.2">
      <c r="B3" t="s">
        <v>36</v>
      </c>
      <c r="C3" t="s">
        <v>275</v>
      </c>
    </row>
    <row r="4" spans="1:3" x14ac:dyDescent="0.2">
      <c r="B4" t="s">
        <v>7</v>
      </c>
      <c r="C4" t="s">
        <v>242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276</v>
      </c>
    </row>
    <row r="12" spans="1:3" x14ac:dyDescent="0.2">
      <c r="C12" t="s">
        <v>277</v>
      </c>
    </row>
    <row r="13" spans="1:3" x14ac:dyDescent="0.2">
      <c r="C13" s="29">
        <v>47178</v>
      </c>
    </row>
  </sheetData>
  <hyperlinks>
    <hyperlink ref="A1" location="Main!A1" display="Main" xr:uid="{60FF9F2F-01C8-4C40-94DF-DBAE612AE1D5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6FE77-10D0-4452-A008-CC8E0FEAB7B3}">
  <dimension ref="A1:C25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.5703125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284</v>
      </c>
    </row>
    <row r="3" spans="1:3" x14ac:dyDescent="0.2">
      <c r="B3" t="s">
        <v>36</v>
      </c>
      <c r="C3" t="s">
        <v>278</v>
      </c>
    </row>
    <row r="4" spans="1:3" x14ac:dyDescent="0.2">
      <c r="B4" t="s">
        <v>7</v>
      </c>
      <c r="C4" t="s">
        <v>279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280</v>
      </c>
    </row>
    <row r="12" spans="1:3" x14ac:dyDescent="0.2">
      <c r="C12" t="s">
        <v>285</v>
      </c>
    </row>
    <row r="13" spans="1:3" x14ac:dyDescent="0.2">
      <c r="C13" s="29">
        <v>46357</v>
      </c>
    </row>
    <row r="15" spans="1:3" x14ac:dyDescent="0.2">
      <c r="C15" s="25" t="s">
        <v>281</v>
      </c>
    </row>
    <row r="16" spans="1:3" x14ac:dyDescent="0.2">
      <c r="C16" t="s">
        <v>286</v>
      </c>
    </row>
    <row r="17" spans="3:3" x14ac:dyDescent="0.2">
      <c r="C17" s="29">
        <v>46874</v>
      </c>
    </row>
    <row r="19" spans="3:3" x14ac:dyDescent="0.2">
      <c r="C19" s="25" t="s">
        <v>282</v>
      </c>
    </row>
    <row r="20" spans="3:3" x14ac:dyDescent="0.2">
      <c r="C20" t="s">
        <v>287</v>
      </c>
    </row>
    <row r="21" spans="3:3" x14ac:dyDescent="0.2">
      <c r="C21" s="29">
        <v>46722</v>
      </c>
    </row>
    <row r="23" spans="3:3" x14ac:dyDescent="0.2">
      <c r="C23" s="25" t="s">
        <v>283</v>
      </c>
    </row>
    <row r="24" spans="3:3" x14ac:dyDescent="0.2">
      <c r="C24" t="s">
        <v>288</v>
      </c>
    </row>
    <row r="25" spans="3:3" x14ac:dyDescent="0.2">
      <c r="C25" s="29">
        <v>46844</v>
      </c>
    </row>
  </sheetData>
  <hyperlinks>
    <hyperlink ref="A1" location="Main!A1" display="Main" xr:uid="{7BCB8BDA-EA88-4EFD-8583-5F7454373935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3A2C5-07C5-40B2-9372-AC6E7F29EFB7}">
  <dimension ref="A1:C21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  <col min="3" max="3" width="10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291</v>
      </c>
    </row>
    <row r="3" spans="1:3" x14ac:dyDescent="0.2">
      <c r="B3" t="s">
        <v>36</v>
      </c>
      <c r="C3" t="s">
        <v>289</v>
      </c>
    </row>
    <row r="4" spans="1:3" x14ac:dyDescent="0.2">
      <c r="B4" t="s">
        <v>7</v>
      </c>
      <c r="C4" t="s">
        <v>290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292</v>
      </c>
    </row>
    <row r="12" spans="1:3" x14ac:dyDescent="0.2">
      <c r="C12" t="s">
        <v>296</v>
      </c>
    </row>
    <row r="13" spans="1:3" x14ac:dyDescent="0.2">
      <c r="C13" s="29">
        <v>47392</v>
      </c>
    </row>
    <row r="15" spans="1:3" x14ac:dyDescent="0.2">
      <c r="C15" s="25" t="s">
        <v>294</v>
      </c>
    </row>
    <row r="16" spans="1:3" x14ac:dyDescent="0.2">
      <c r="C16" t="s">
        <v>295</v>
      </c>
    </row>
    <row r="17" spans="3:3" x14ac:dyDescent="0.2">
      <c r="C17" s="29">
        <v>48245</v>
      </c>
    </row>
    <row r="19" spans="3:3" x14ac:dyDescent="0.2">
      <c r="C19" s="25" t="s">
        <v>293</v>
      </c>
    </row>
    <row r="20" spans="3:3" x14ac:dyDescent="0.2">
      <c r="C20" t="s">
        <v>297</v>
      </c>
    </row>
    <row r="21" spans="3:3" x14ac:dyDescent="0.2">
      <c r="C21" s="29">
        <v>46478</v>
      </c>
    </row>
  </sheetData>
  <hyperlinks>
    <hyperlink ref="A1" location="Main!A1" display="Main" xr:uid="{81F6F906-A93D-4409-8C04-AF26116D6CD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BA39-FD53-497C-AEEB-0F0FD94197E7}">
  <dimension ref="A1:DP94"/>
  <sheetViews>
    <sheetView tabSelected="1" zoomScale="130" zoomScaleNormal="130" workbookViewId="0">
      <pane xSplit="2" ySplit="2" topLeftCell="R12" activePane="bottomRight" state="frozen"/>
      <selection pane="topRight" activeCell="C1" sqref="C1"/>
      <selection pane="bottomLeft" activeCell="A3" sqref="A3"/>
      <selection pane="bottomRight" activeCell="AA17" sqref="AA17"/>
    </sheetView>
  </sheetViews>
  <sheetFormatPr defaultRowHeight="12.75" x14ac:dyDescent="0.2"/>
  <cols>
    <col min="1" max="1" width="5" style="2" bestFit="1" customWidth="1"/>
    <col min="2" max="2" width="18.140625" style="2" bestFit="1" customWidth="1"/>
    <col min="3" max="8" width="9.140625" style="2"/>
    <col min="9" max="9" width="10.140625" style="2" bestFit="1" customWidth="1"/>
    <col min="10" max="16384" width="9.140625" style="2"/>
  </cols>
  <sheetData>
    <row r="1" spans="1:27" x14ac:dyDescent="0.2">
      <c r="A1" s="6" t="s">
        <v>14</v>
      </c>
      <c r="H1" s="24">
        <v>45876</v>
      </c>
      <c r="I1" s="24">
        <v>45960</v>
      </c>
    </row>
    <row r="2" spans="1:27" x14ac:dyDescent="0.2">
      <c r="C2" s="2" t="s">
        <v>16</v>
      </c>
      <c r="D2" s="2" t="s">
        <v>17</v>
      </c>
      <c r="E2" s="2" t="s">
        <v>18</v>
      </c>
      <c r="F2" s="2" t="s">
        <v>19</v>
      </c>
      <c r="G2" s="2" t="s">
        <v>13</v>
      </c>
      <c r="H2" s="2" t="s">
        <v>20</v>
      </c>
      <c r="I2" s="2" t="s">
        <v>21</v>
      </c>
      <c r="J2" s="2" t="s">
        <v>22</v>
      </c>
      <c r="L2" s="8">
        <v>2020</v>
      </c>
      <c r="M2" s="8">
        <f>L2+1</f>
        <v>2021</v>
      </c>
      <c r="N2" s="8">
        <f>M2+1</f>
        <v>2022</v>
      </c>
      <c r="O2" s="8">
        <f t="shared" ref="O2:AA2" si="0">N2+1</f>
        <v>2023</v>
      </c>
      <c r="P2" s="8">
        <f t="shared" si="0"/>
        <v>2024</v>
      </c>
      <c r="Q2" s="8">
        <f t="shared" si="0"/>
        <v>2025</v>
      </c>
      <c r="R2" s="8">
        <f t="shared" si="0"/>
        <v>2026</v>
      </c>
      <c r="S2" s="8">
        <f t="shared" si="0"/>
        <v>2027</v>
      </c>
      <c r="T2" s="8">
        <f t="shared" si="0"/>
        <v>2028</v>
      </c>
      <c r="U2" s="8">
        <f t="shared" si="0"/>
        <v>2029</v>
      </c>
      <c r="V2" s="8">
        <f t="shared" si="0"/>
        <v>2030</v>
      </c>
      <c r="W2" s="8">
        <f t="shared" si="0"/>
        <v>2031</v>
      </c>
      <c r="X2" s="8">
        <f t="shared" si="0"/>
        <v>2032</v>
      </c>
      <c r="Y2" s="8">
        <f t="shared" si="0"/>
        <v>2033</v>
      </c>
      <c r="Z2" s="8">
        <f t="shared" si="0"/>
        <v>2034</v>
      </c>
      <c r="AA2" s="8">
        <f t="shared" si="0"/>
        <v>2035</v>
      </c>
    </row>
    <row r="3" spans="1:27" x14ac:dyDescent="0.2"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B5" s="2" t="s">
        <v>95</v>
      </c>
      <c r="L5" s="8"/>
      <c r="M5" s="8"/>
      <c r="N5" s="8"/>
      <c r="O5" s="8"/>
      <c r="P5" s="8"/>
      <c r="Q5" s="8"/>
      <c r="R5" s="8"/>
      <c r="S5" s="8"/>
      <c r="T5" s="8"/>
      <c r="U5" s="8"/>
    </row>
    <row r="6" spans="1:27" x14ac:dyDescent="0.2">
      <c r="B6" s="2" t="s">
        <v>96</v>
      </c>
      <c r="L6" s="8"/>
      <c r="M6" s="8"/>
      <c r="N6" s="8"/>
      <c r="O6" s="8"/>
      <c r="P6" s="8"/>
      <c r="Q6" s="8"/>
      <c r="R6" s="8"/>
      <c r="S6" s="8"/>
      <c r="T6" s="8"/>
      <c r="U6" s="8"/>
    </row>
    <row r="7" spans="1:27" x14ac:dyDescent="0.2">
      <c r="B7" s="2" t="s">
        <v>97</v>
      </c>
      <c r="L7" s="8"/>
      <c r="M7" s="8"/>
      <c r="N7" s="8"/>
      <c r="O7" s="8"/>
      <c r="P7" s="8"/>
      <c r="Q7" s="8"/>
      <c r="R7" s="8"/>
      <c r="S7" s="8"/>
      <c r="T7" s="8"/>
      <c r="U7" s="8"/>
    </row>
    <row r="8" spans="1:27" x14ac:dyDescent="0.2">
      <c r="B8" s="2" t="s">
        <v>98</v>
      </c>
      <c r="L8" s="8"/>
      <c r="M8" s="8"/>
      <c r="N8" s="8"/>
      <c r="O8" s="8"/>
      <c r="P8" s="8"/>
      <c r="Q8" s="8"/>
      <c r="R8" s="8"/>
      <c r="S8" s="8"/>
      <c r="T8" s="8"/>
      <c r="U8" s="8"/>
    </row>
    <row r="9" spans="1:27" x14ac:dyDescent="0.2">
      <c r="B9" s="2" t="s">
        <v>104</v>
      </c>
      <c r="L9" s="8"/>
      <c r="M9" s="8"/>
      <c r="N9" s="8"/>
      <c r="O9" s="8"/>
      <c r="P9" s="8"/>
      <c r="Q9" s="8"/>
      <c r="R9" s="8"/>
      <c r="S9" s="8"/>
      <c r="T9" s="8"/>
      <c r="U9" s="8"/>
    </row>
    <row r="10" spans="1:27" x14ac:dyDescent="0.2">
      <c r="B10" s="2" t="s">
        <v>105</v>
      </c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7" x14ac:dyDescent="0.2">
      <c r="B11" s="2" t="s">
        <v>106</v>
      </c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7" x14ac:dyDescent="0.2">
      <c r="B12" s="2" t="s">
        <v>107</v>
      </c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7" x14ac:dyDescent="0.2">
      <c r="B13" s="2" t="s">
        <v>108</v>
      </c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7" x14ac:dyDescent="0.2">
      <c r="B14" s="2" t="s">
        <v>109</v>
      </c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7" x14ac:dyDescent="0.2">
      <c r="B15" s="2" t="s">
        <v>83</v>
      </c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7" x14ac:dyDescent="0.2">
      <c r="B16" s="2" t="s">
        <v>94</v>
      </c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120" s="7" customFormat="1" x14ac:dyDescent="0.2">
      <c r="A17" s="2"/>
      <c r="B17" s="7" t="s">
        <v>15</v>
      </c>
      <c r="C17" s="7">
        <v>8768</v>
      </c>
      <c r="G17" s="7">
        <v>12728</v>
      </c>
      <c r="H17" s="7">
        <f>G17*1.1</f>
        <v>14000.800000000001</v>
      </c>
      <c r="I17" s="7">
        <f t="shared" ref="I17:J17" si="1">H17*1.1</f>
        <v>15400.880000000003</v>
      </c>
      <c r="J17" s="7">
        <f t="shared" si="1"/>
        <v>16940.968000000004</v>
      </c>
      <c r="Q17" s="7">
        <f>SUM(G17:J17)</f>
        <v>59070.648000000016</v>
      </c>
      <c r="R17" s="7">
        <f>Q17*1.09</f>
        <v>64387.006320000022</v>
      </c>
      <c r="S17" s="7">
        <f t="shared" ref="S17:AA17" si="2">R17*1.09</f>
        <v>70181.836888800026</v>
      </c>
      <c r="T17" s="7">
        <f t="shared" si="2"/>
        <v>76498.202208792034</v>
      </c>
      <c r="U17" s="7">
        <f t="shared" si="2"/>
        <v>83383.040407583321</v>
      </c>
      <c r="V17" s="7">
        <f t="shared" si="2"/>
        <v>90887.51404426583</v>
      </c>
      <c r="W17" s="7">
        <f t="shared" si="2"/>
        <v>99067.390308249756</v>
      </c>
      <c r="X17" s="7">
        <f t="shared" si="2"/>
        <v>107983.45543599225</v>
      </c>
      <c r="Y17" s="7">
        <f t="shared" si="2"/>
        <v>117701.96642523156</v>
      </c>
      <c r="Z17" s="7">
        <f t="shared" si="2"/>
        <v>128295.1434035024</v>
      </c>
      <c r="AA17" s="7">
        <f t="shared" si="2"/>
        <v>139841.70630981761</v>
      </c>
    </row>
    <row r="18" spans="1:120" x14ac:dyDescent="0.2">
      <c r="B18" s="2" t="s">
        <v>23</v>
      </c>
      <c r="C18" s="2">
        <v>1674</v>
      </c>
      <c r="G18" s="2">
        <v>2224</v>
      </c>
      <c r="H18" s="2">
        <f>H17*0.17</f>
        <v>2380.1360000000004</v>
      </c>
      <c r="I18" s="2">
        <f t="shared" ref="I18:J18" si="3">I17*0.17</f>
        <v>2618.1496000000006</v>
      </c>
      <c r="J18" s="2">
        <f t="shared" si="3"/>
        <v>2879.9645600000008</v>
      </c>
      <c r="Q18" s="2">
        <f>SUM(G18:J18)</f>
        <v>10102.250160000001</v>
      </c>
      <c r="R18" s="2">
        <f t="shared" ref="R18" si="4">R17*0.17</f>
        <v>10945.791074400004</v>
      </c>
      <c r="S18" s="2">
        <f t="shared" ref="S18" si="5">S17*0.17</f>
        <v>11930.912271096005</v>
      </c>
      <c r="T18" s="2">
        <f t="shared" ref="T18" si="6">T17*0.17</f>
        <v>13004.694375494646</v>
      </c>
      <c r="U18" s="2">
        <f t="shared" ref="U18:V18" si="7">U17*0.17</f>
        <v>14175.116869289166</v>
      </c>
      <c r="V18" s="2">
        <f t="shared" si="7"/>
        <v>15450.877387525192</v>
      </c>
      <c r="W18" s="2">
        <f t="shared" ref="W18" si="8">W17*0.17</f>
        <v>16841.45635240246</v>
      </c>
      <c r="X18" s="2">
        <f t="shared" ref="X18" si="9">X17*0.17</f>
        <v>18357.187424118685</v>
      </c>
      <c r="Y18" s="2">
        <f t="shared" ref="Y18" si="10">Y17*0.17</f>
        <v>20009.334292289364</v>
      </c>
      <c r="Z18" s="2">
        <f t="shared" ref="Z18" si="11">Z17*0.17</f>
        <v>21810.17437859541</v>
      </c>
      <c r="AA18" s="2">
        <f t="shared" ref="AA18" si="12">AA17*0.17</f>
        <v>23773.090072668998</v>
      </c>
    </row>
    <row r="19" spans="1:120" x14ac:dyDescent="0.2">
      <c r="B19" s="2" t="s">
        <v>24</v>
      </c>
      <c r="C19" s="2">
        <f t="shared" ref="C19:H19" si="13">C17-C18</f>
        <v>7094</v>
      </c>
      <c r="D19" s="2">
        <f t="shared" si="13"/>
        <v>0</v>
      </c>
      <c r="E19" s="2">
        <f t="shared" si="13"/>
        <v>0</v>
      </c>
      <c r="F19" s="2">
        <f t="shared" si="13"/>
        <v>0</v>
      </c>
      <c r="G19" s="2">
        <f t="shared" si="13"/>
        <v>10504</v>
      </c>
      <c r="H19" s="2">
        <f t="shared" si="13"/>
        <v>11620.664000000001</v>
      </c>
      <c r="I19" s="2">
        <f t="shared" ref="I19:L19" si="14">I17-I18</f>
        <v>12782.730400000002</v>
      </c>
      <c r="J19" s="2">
        <f t="shared" si="14"/>
        <v>14061.003440000004</v>
      </c>
      <c r="L19" s="2">
        <f t="shared" si="14"/>
        <v>0</v>
      </c>
      <c r="M19" s="2">
        <f t="shared" ref="M19" si="15">M17-M18</f>
        <v>0</v>
      </c>
      <c r="N19" s="2">
        <f t="shared" ref="N19" si="16">N17-N18</f>
        <v>0</v>
      </c>
      <c r="O19" s="2">
        <f t="shared" ref="O19" si="17">O17-O18</f>
        <v>0</v>
      </c>
      <c r="P19" s="2">
        <f t="shared" ref="P19" si="18">P17-P18</f>
        <v>0</v>
      </c>
      <c r="Q19" s="2">
        <f t="shared" ref="Q19" si="19">Q17-Q18</f>
        <v>48968.397840000012</v>
      </c>
      <c r="R19" s="2">
        <f t="shared" ref="R19" si="20">R17-R18</f>
        <v>53441.215245600019</v>
      </c>
      <c r="S19" s="2">
        <f t="shared" ref="S19" si="21">S17-S18</f>
        <v>58250.924617704019</v>
      </c>
      <c r="T19" s="2">
        <f t="shared" ref="T19" si="22">T17-T18</f>
        <v>63493.507833297386</v>
      </c>
      <c r="U19" s="2">
        <f t="shared" ref="U19:V19" si="23">U17-U18</f>
        <v>69207.923538294155</v>
      </c>
      <c r="V19" s="2">
        <f t="shared" si="23"/>
        <v>75436.636656740637</v>
      </c>
      <c r="W19" s="2">
        <f t="shared" ref="W19" si="24">W17-W18</f>
        <v>82225.9339558473</v>
      </c>
      <c r="X19" s="2">
        <f t="shared" ref="X19" si="25">X17-X18</f>
        <v>89626.268011873559</v>
      </c>
      <c r="Y19" s="2">
        <f t="shared" ref="Y19" si="26">Y17-Y18</f>
        <v>97692.632132942192</v>
      </c>
      <c r="Z19" s="2">
        <f t="shared" ref="Z19" si="27">Z17-Z18</f>
        <v>106484.96902490698</v>
      </c>
      <c r="AA19" s="2">
        <f t="shared" ref="AA19" si="28">AA17-AA18</f>
        <v>116068.61623714861</v>
      </c>
    </row>
    <row r="20" spans="1:120" x14ac:dyDescent="0.2">
      <c r="B20" s="2" t="s">
        <v>25</v>
      </c>
      <c r="C20" s="2">
        <v>2523</v>
      </c>
      <c r="G20" s="2">
        <v>2734</v>
      </c>
      <c r="H20" s="2">
        <f>G20</f>
        <v>2734</v>
      </c>
      <c r="I20" s="2">
        <f t="shared" ref="I20:J20" si="29">H20</f>
        <v>2734</v>
      </c>
      <c r="J20" s="2">
        <f t="shared" si="29"/>
        <v>2734</v>
      </c>
      <c r="Q20" s="2">
        <f>SUM(G20:J20)</f>
        <v>10936</v>
      </c>
    </row>
    <row r="21" spans="1:120" x14ac:dyDescent="0.2">
      <c r="B21" s="2" t="s">
        <v>26</v>
      </c>
      <c r="C21" s="2">
        <v>1952</v>
      </c>
      <c r="G21" s="2">
        <v>2469</v>
      </c>
      <c r="H21" s="2">
        <f>G21</f>
        <v>2469</v>
      </c>
      <c r="I21" s="2">
        <f t="shared" ref="I21:J21" si="30">H21</f>
        <v>2469</v>
      </c>
      <c r="J21" s="2">
        <f t="shared" si="30"/>
        <v>2469</v>
      </c>
      <c r="Q21" s="2">
        <f>SUM(G21:J21)</f>
        <v>9876</v>
      </c>
      <c r="R21" s="2">
        <f>Q21*1.04</f>
        <v>10271.040000000001</v>
      </c>
      <c r="S21" s="2">
        <f t="shared" ref="S21:V21" si="31">R21*1.04</f>
        <v>10681.881600000001</v>
      </c>
      <c r="T21" s="2">
        <f t="shared" si="31"/>
        <v>11109.156864</v>
      </c>
      <c r="U21" s="2">
        <f t="shared" si="31"/>
        <v>11553.52313856</v>
      </c>
      <c r="V21" s="2">
        <f t="shared" si="31"/>
        <v>12015.664064102401</v>
      </c>
      <c r="W21" s="2">
        <f t="shared" ref="W21:AA21" si="32">V21*1.04</f>
        <v>12496.290626666498</v>
      </c>
      <c r="X21" s="2">
        <f t="shared" si="32"/>
        <v>12996.142251733158</v>
      </c>
      <c r="Y21" s="2">
        <f t="shared" si="32"/>
        <v>13515.987941802485</v>
      </c>
      <c r="Z21" s="2">
        <f t="shared" si="32"/>
        <v>14056.627459474585</v>
      </c>
      <c r="AA21" s="2">
        <f t="shared" si="32"/>
        <v>14618.892557853569</v>
      </c>
    </row>
    <row r="22" spans="1:120" x14ac:dyDescent="0.2">
      <c r="B22" s="2" t="s">
        <v>27</v>
      </c>
      <c r="C22" s="2">
        <f t="shared" ref="C22:H22" si="33">SUM(C20:C21)</f>
        <v>4475</v>
      </c>
      <c r="D22" s="2">
        <f t="shared" si="33"/>
        <v>0</v>
      </c>
      <c r="E22" s="2">
        <f t="shared" si="33"/>
        <v>0</v>
      </c>
      <c r="F22" s="2">
        <f t="shared" si="33"/>
        <v>0</v>
      </c>
      <c r="G22" s="2">
        <f t="shared" si="33"/>
        <v>5203</v>
      </c>
      <c r="H22" s="2">
        <f t="shared" si="33"/>
        <v>5203</v>
      </c>
      <c r="I22" s="2">
        <f t="shared" ref="I22:L22" si="34">SUM(I20:I21)</f>
        <v>5203</v>
      </c>
      <c r="J22" s="2">
        <f t="shared" si="34"/>
        <v>5203</v>
      </c>
      <c r="L22" s="2">
        <f t="shared" si="34"/>
        <v>0</v>
      </c>
      <c r="M22" s="2">
        <f t="shared" ref="M22" si="35">SUM(M20:M21)</f>
        <v>0</v>
      </c>
      <c r="N22" s="2">
        <f t="shared" ref="N22" si="36">SUM(N20:N21)</f>
        <v>0</v>
      </c>
      <c r="O22" s="2">
        <f t="shared" ref="O22" si="37">SUM(O20:O21)</f>
        <v>0</v>
      </c>
      <c r="P22" s="2">
        <f t="shared" ref="P22" si="38">SUM(P20:P21)</f>
        <v>0</v>
      </c>
      <c r="Q22" s="2">
        <f t="shared" ref="Q22" si="39">SUM(Q20:Q21)</f>
        <v>20812</v>
      </c>
      <c r="R22" s="2">
        <f t="shared" ref="R22" si="40">SUM(R20:R21)</f>
        <v>10271.040000000001</v>
      </c>
      <c r="S22" s="2">
        <f t="shared" ref="S22" si="41">SUM(S20:S21)</f>
        <v>10681.881600000001</v>
      </c>
      <c r="T22" s="2">
        <f t="shared" ref="T22" si="42">SUM(T20:T21)</f>
        <v>11109.156864</v>
      </c>
      <c r="U22" s="2">
        <f t="shared" ref="U22:V22" si="43">SUM(U20:U21)</f>
        <v>11553.52313856</v>
      </c>
      <c r="V22" s="2">
        <f t="shared" si="43"/>
        <v>12015.664064102401</v>
      </c>
      <c r="W22" s="2">
        <f t="shared" ref="W22" si="44">SUM(W20:W21)</f>
        <v>12496.290626666498</v>
      </c>
      <c r="X22" s="2">
        <f t="shared" ref="X22" si="45">SUM(X20:X21)</f>
        <v>12996.142251733158</v>
      </c>
      <c r="Y22" s="2">
        <f t="shared" ref="Y22" si="46">SUM(Y20:Y21)</f>
        <v>13515.987941802485</v>
      </c>
      <c r="Z22" s="2">
        <f t="shared" ref="Z22" si="47">SUM(Z20:Z21)</f>
        <v>14056.627459474585</v>
      </c>
      <c r="AA22" s="2">
        <f t="shared" ref="AA22" si="48">SUM(AA20:AA21)</f>
        <v>14618.892557853569</v>
      </c>
    </row>
    <row r="23" spans="1:120" x14ac:dyDescent="0.2">
      <c r="B23" s="2" t="s">
        <v>28</v>
      </c>
      <c r="C23" s="2">
        <f t="shared" ref="C23:H23" si="49">C19-C22</f>
        <v>2619</v>
      </c>
      <c r="D23" s="2">
        <f t="shared" si="49"/>
        <v>0</v>
      </c>
      <c r="E23" s="2">
        <f t="shared" si="49"/>
        <v>0</v>
      </c>
      <c r="F23" s="2">
        <f t="shared" si="49"/>
        <v>0</v>
      </c>
      <c r="G23" s="2">
        <f t="shared" si="49"/>
        <v>5301</v>
      </c>
      <c r="H23" s="2">
        <f t="shared" si="49"/>
        <v>6417.6640000000007</v>
      </c>
      <c r="I23" s="2">
        <f t="shared" ref="I23:L23" si="50">I19-I22</f>
        <v>7579.7304000000022</v>
      </c>
      <c r="J23" s="2">
        <f t="shared" si="50"/>
        <v>8858.003440000004</v>
      </c>
      <c r="L23" s="2">
        <f t="shared" si="50"/>
        <v>0</v>
      </c>
      <c r="M23" s="2">
        <f t="shared" ref="M23" si="51">M19-M22</f>
        <v>0</v>
      </c>
      <c r="N23" s="2">
        <f t="shared" ref="N23" si="52">N19-N22</f>
        <v>0</v>
      </c>
      <c r="O23" s="2">
        <f t="shared" ref="O23" si="53">O19-O22</f>
        <v>0</v>
      </c>
      <c r="P23" s="2">
        <f t="shared" ref="P23" si="54">P19-P22</f>
        <v>0</v>
      </c>
      <c r="Q23" s="2">
        <f t="shared" ref="Q23" si="55">Q19-Q22</f>
        <v>28156.397840000012</v>
      </c>
      <c r="R23" s="2">
        <f t="shared" ref="R23" si="56">R19-R22</f>
        <v>43170.175245600018</v>
      </c>
      <c r="S23" s="2">
        <f t="shared" ref="S23" si="57">S19-S22</f>
        <v>47569.043017704018</v>
      </c>
      <c r="T23" s="2">
        <f t="shared" ref="T23" si="58">T19-T22</f>
        <v>52384.350969297389</v>
      </c>
      <c r="U23" s="2">
        <f t="shared" ref="U23:V23" si="59">U19-U22</f>
        <v>57654.400399734157</v>
      </c>
      <c r="V23" s="2">
        <f t="shared" si="59"/>
        <v>63420.972592638238</v>
      </c>
      <c r="W23" s="2">
        <f t="shared" ref="W23" si="60">W19-W22</f>
        <v>69729.643329180806</v>
      </c>
      <c r="X23" s="2">
        <f t="shared" ref="X23" si="61">X19-X22</f>
        <v>76630.125760140407</v>
      </c>
      <c r="Y23" s="2">
        <f t="shared" ref="Y23" si="62">Y19-Y22</f>
        <v>84176.644191139712</v>
      </c>
      <c r="Z23" s="2">
        <f t="shared" ref="Z23" si="63">Z19-Z22</f>
        <v>92428.341565432405</v>
      </c>
      <c r="AA23" s="2">
        <f t="shared" ref="AA23" si="64">AA19-AA22</f>
        <v>101449.72367929504</v>
      </c>
    </row>
    <row r="24" spans="1:120" x14ac:dyDescent="0.2">
      <c r="B24" s="2" t="s">
        <v>47</v>
      </c>
      <c r="C24" s="2">
        <v>27</v>
      </c>
      <c r="G24" s="2">
        <v>-239</v>
      </c>
      <c r="H24" s="2">
        <f>G35*$AD$29</f>
        <v>-69.320000000000007</v>
      </c>
      <c r="I24" s="2">
        <f>H35*$AD$29</f>
        <v>33.523172800000012</v>
      </c>
      <c r="J24" s="2">
        <f>I35*$AD$29</f>
        <v>156.85788067936005</v>
      </c>
      <c r="Q24" s="2">
        <f>SUM(G24:J24)</f>
        <v>-117.93894652063994</v>
      </c>
      <c r="R24" s="2">
        <f t="shared" ref="R24:AA24" si="65">Q35*$AD$29</f>
        <v>302.89863407436576</v>
      </c>
      <c r="S24" s="2">
        <f t="shared" si="65"/>
        <v>1007.1624309250908</v>
      </c>
      <c r="T24" s="2">
        <f t="shared" si="65"/>
        <v>1794.0969591928824</v>
      </c>
      <c r="U24" s="2">
        <f t="shared" si="65"/>
        <v>2671.787815634425</v>
      </c>
      <c r="V24" s="2">
        <f t="shared" si="65"/>
        <v>3649.0720647233957</v>
      </c>
      <c r="W24" s="2">
        <f t="shared" si="65"/>
        <v>4735.6067881726549</v>
      </c>
      <c r="X24" s="2">
        <f t="shared" si="65"/>
        <v>5941.9438400737799</v>
      </c>
      <c r="Y24" s="2">
        <f t="shared" si="65"/>
        <v>7279.6113675972492</v>
      </c>
      <c r="Z24" s="2">
        <f t="shared" si="65"/>
        <v>8761.2027076487884</v>
      </c>
      <c r="AA24" s="2">
        <f t="shared" si="65"/>
        <v>10400.473324872704</v>
      </c>
    </row>
    <row r="25" spans="1:120" x14ac:dyDescent="0.2">
      <c r="B25" s="2" t="s">
        <v>48</v>
      </c>
      <c r="C25" s="2">
        <f t="shared" ref="C25:H25" si="66">C23+C24</f>
        <v>2646</v>
      </c>
      <c r="D25" s="2">
        <f t="shared" si="66"/>
        <v>0</v>
      </c>
      <c r="E25" s="2">
        <f t="shared" si="66"/>
        <v>0</v>
      </c>
      <c r="F25" s="2">
        <f t="shared" si="66"/>
        <v>0</v>
      </c>
      <c r="G25" s="2">
        <f t="shared" si="66"/>
        <v>5062</v>
      </c>
      <c r="H25" s="2">
        <f t="shared" si="66"/>
        <v>6348.344000000001</v>
      </c>
      <c r="I25" s="2">
        <f t="shared" ref="I25:L25" si="67">I23+I24</f>
        <v>7613.2535728000021</v>
      </c>
      <c r="J25" s="2">
        <f t="shared" si="67"/>
        <v>9014.8613206793634</v>
      </c>
      <c r="L25" s="2">
        <f t="shared" si="67"/>
        <v>0</v>
      </c>
      <c r="M25" s="2">
        <f t="shared" ref="M25" si="68">M23+M24</f>
        <v>0</v>
      </c>
      <c r="N25" s="2">
        <f t="shared" ref="N25" si="69">N23+N24</f>
        <v>0</v>
      </c>
      <c r="O25" s="2">
        <f t="shared" ref="O25" si="70">O23+O24</f>
        <v>0</v>
      </c>
      <c r="P25" s="2">
        <f t="shared" ref="P25" si="71">P23+P24</f>
        <v>0</v>
      </c>
      <c r="Q25" s="2">
        <f t="shared" ref="Q25" si="72">Q23+Q24</f>
        <v>28038.458893479372</v>
      </c>
      <c r="R25" s="2">
        <f t="shared" ref="R25" si="73">R23+R24</f>
        <v>43473.073879674383</v>
      </c>
      <c r="S25" s="2">
        <f t="shared" ref="S25" si="74">S23+S24</f>
        <v>48576.205448629109</v>
      </c>
      <c r="T25" s="2">
        <f t="shared" ref="T25" si="75">T23+T24</f>
        <v>54178.44792849027</v>
      </c>
      <c r="U25" s="2">
        <f t="shared" ref="U25:V25" si="76">U23+U24</f>
        <v>60326.18821536858</v>
      </c>
      <c r="V25" s="2">
        <f t="shared" si="76"/>
        <v>67070.044657361635</v>
      </c>
      <c r="W25" s="2">
        <f t="shared" ref="W25" si="77">W23+W24</f>
        <v>74465.250117353455</v>
      </c>
      <c r="X25" s="2">
        <f t="shared" ref="X25" si="78">X23+X24</f>
        <v>82572.069600214192</v>
      </c>
      <c r="Y25" s="2">
        <f t="shared" ref="Y25" si="79">Y23+Y24</f>
        <v>91456.255558736957</v>
      </c>
      <c r="Z25" s="2">
        <f t="shared" ref="Z25" si="80">Z23+Z24</f>
        <v>101189.54427308119</v>
      </c>
      <c r="AA25" s="2">
        <f t="shared" ref="AA25" si="81">AA23+AA24</f>
        <v>111850.19700416774</v>
      </c>
    </row>
    <row r="26" spans="1:120" x14ac:dyDescent="0.2">
      <c r="B26" s="2" t="s">
        <v>49</v>
      </c>
      <c r="C26" s="2">
        <v>293</v>
      </c>
      <c r="G26" s="2">
        <v>697</v>
      </c>
      <c r="H26" s="2">
        <f>H25*0.19</f>
        <v>1206.1853600000002</v>
      </c>
      <c r="I26" s="2">
        <f t="shared" ref="I26:J26" si="82">I25*0.19</f>
        <v>1446.5181788320003</v>
      </c>
      <c r="J26" s="2">
        <f t="shared" si="82"/>
        <v>1712.8236509290791</v>
      </c>
      <c r="Q26" s="2">
        <f>SUM(G26:J26)</f>
        <v>5062.5271897610801</v>
      </c>
      <c r="R26" s="2">
        <f>R25*0.19</f>
        <v>8259.884037138132</v>
      </c>
      <c r="S26" s="2">
        <f t="shared" ref="S26:V26" si="83">S25*0.19</f>
        <v>9229.4790352395303</v>
      </c>
      <c r="T26" s="2">
        <f t="shared" si="83"/>
        <v>10293.905106413151</v>
      </c>
      <c r="U26" s="2">
        <f t="shared" si="83"/>
        <v>11461.97576092003</v>
      </c>
      <c r="V26" s="2">
        <f t="shared" si="83"/>
        <v>12743.308484898711</v>
      </c>
      <c r="W26" s="2">
        <f t="shared" ref="W26" si="84">W25*0.19</f>
        <v>14148.397522297157</v>
      </c>
      <c r="X26" s="2">
        <f t="shared" ref="X26" si="85">X25*0.19</f>
        <v>15688.693224040697</v>
      </c>
      <c r="Y26" s="2">
        <f t="shared" ref="Y26" si="86">Y25*0.19</f>
        <v>17376.688556160021</v>
      </c>
      <c r="Z26" s="2">
        <f t="shared" ref="Z26" si="87">Z25*0.19</f>
        <v>19226.013411885426</v>
      </c>
      <c r="AA26" s="2">
        <f t="shared" ref="AA26" si="88">AA25*0.19</f>
        <v>21251.537430791872</v>
      </c>
    </row>
    <row r="27" spans="1:120" x14ac:dyDescent="0.2">
      <c r="B27" s="2" t="s">
        <v>50</v>
      </c>
      <c r="C27" s="2">
        <f t="shared" ref="C27:H27" si="89">C25-C26</f>
        <v>2353</v>
      </c>
      <c r="D27" s="2">
        <f t="shared" si="89"/>
        <v>0</v>
      </c>
      <c r="E27" s="2">
        <f t="shared" si="89"/>
        <v>0</v>
      </c>
      <c r="F27" s="2">
        <f t="shared" si="89"/>
        <v>0</v>
      </c>
      <c r="G27" s="2">
        <f t="shared" si="89"/>
        <v>4365</v>
      </c>
      <c r="H27" s="2">
        <f t="shared" si="89"/>
        <v>5142.1586400000006</v>
      </c>
      <c r="I27" s="2">
        <f t="shared" ref="I27:L27" si="90">I25-I26</f>
        <v>6166.7353939680015</v>
      </c>
      <c r="J27" s="2">
        <f t="shared" si="90"/>
        <v>7302.0376697502843</v>
      </c>
      <c r="L27" s="2">
        <f t="shared" si="90"/>
        <v>0</v>
      </c>
      <c r="M27" s="2">
        <f t="shared" ref="M27" si="91">M25-M26</f>
        <v>0</v>
      </c>
      <c r="N27" s="2">
        <f t="shared" ref="N27" si="92">N25-N26</f>
        <v>0</v>
      </c>
      <c r="O27" s="2">
        <f t="shared" ref="O27" si="93">O25-O26</f>
        <v>0</v>
      </c>
      <c r="P27" s="2">
        <f t="shared" ref="P27" si="94">P25-P26</f>
        <v>0</v>
      </c>
      <c r="Q27" s="2">
        <f t="shared" ref="Q27" si="95">Q25-Q26</f>
        <v>22975.931703718292</v>
      </c>
      <c r="R27" s="2">
        <f t="shared" ref="R27" si="96">R25-R26</f>
        <v>35213.189842536252</v>
      </c>
      <c r="S27" s="2">
        <f t="shared" ref="S27" si="97">S25-S26</f>
        <v>39346.726413389581</v>
      </c>
      <c r="T27" s="2">
        <f t="shared" ref="T27" si="98">T25-T26</f>
        <v>43884.542822077121</v>
      </c>
      <c r="U27" s="2">
        <f t="shared" ref="U27:V27" si="99">U25-U26</f>
        <v>48864.212454448549</v>
      </c>
      <c r="V27" s="2">
        <f t="shared" si="99"/>
        <v>54326.736172462923</v>
      </c>
      <c r="W27" s="2">
        <f t="shared" ref="W27" si="100">W25-W26</f>
        <v>60316.852595056298</v>
      </c>
      <c r="X27" s="2">
        <f t="shared" ref="X27" si="101">X25-X26</f>
        <v>66883.376376173488</v>
      </c>
      <c r="Y27" s="2">
        <f t="shared" ref="Y27" si="102">Y25-Y26</f>
        <v>74079.567002576936</v>
      </c>
      <c r="Z27" s="2">
        <f t="shared" ref="Z27" si="103">Z25-Z26</f>
        <v>81963.530861195759</v>
      </c>
      <c r="AA27" s="2">
        <f t="shared" ref="AA27" si="104">AA25-AA26</f>
        <v>90598.659573375873</v>
      </c>
      <c r="AB27" s="2">
        <f t="shared" ref="AB27:BG27" si="105">AA27*(1+$AD$30)</f>
        <v>89692.672977642113</v>
      </c>
      <c r="AC27" s="2">
        <f t="shared" si="105"/>
        <v>88795.746247865696</v>
      </c>
      <c r="AD27" s="2">
        <f t="shared" si="105"/>
        <v>87907.788785387034</v>
      </c>
      <c r="AE27" s="2">
        <f t="shared" si="105"/>
        <v>87028.710897533165</v>
      </c>
      <c r="AF27" s="2">
        <f t="shared" si="105"/>
        <v>86158.423788557833</v>
      </c>
      <c r="AG27" s="2">
        <f t="shared" si="105"/>
        <v>85296.839550672259</v>
      </c>
      <c r="AH27" s="2">
        <f t="shared" si="105"/>
        <v>84443.871155165529</v>
      </c>
      <c r="AI27" s="2">
        <f t="shared" si="105"/>
        <v>83599.43244361387</v>
      </c>
      <c r="AJ27" s="2">
        <f t="shared" si="105"/>
        <v>82763.438119177736</v>
      </c>
      <c r="AK27" s="2">
        <f t="shared" si="105"/>
        <v>81935.80373798596</v>
      </c>
      <c r="AL27" s="2">
        <f t="shared" si="105"/>
        <v>81116.445700606098</v>
      </c>
      <c r="AM27" s="2">
        <f t="shared" si="105"/>
        <v>80305.281243600039</v>
      </c>
      <c r="AN27" s="2">
        <f t="shared" si="105"/>
        <v>79502.22843116404</v>
      </c>
      <c r="AO27" s="2">
        <f t="shared" si="105"/>
        <v>78707.206146852404</v>
      </c>
      <c r="AP27" s="2">
        <f t="shared" si="105"/>
        <v>77920.134085383877</v>
      </c>
      <c r="AQ27" s="2">
        <f t="shared" si="105"/>
        <v>77140.932744530044</v>
      </c>
      <c r="AR27" s="2">
        <f t="shared" si="105"/>
        <v>76369.52341708474</v>
      </c>
      <c r="AS27" s="2">
        <f t="shared" si="105"/>
        <v>75605.828182913887</v>
      </c>
      <c r="AT27" s="2">
        <f t="shared" si="105"/>
        <v>74849.769901084743</v>
      </c>
      <c r="AU27" s="2">
        <f t="shared" si="105"/>
        <v>74101.272202073887</v>
      </c>
      <c r="AV27" s="2">
        <f t="shared" si="105"/>
        <v>73360.259480053151</v>
      </c>
      <c r="AW27" s="2">
        <f t="shared" si="105"/>
        <v>72626.656885252625</v>
      </c>
      <c r="AX27" s="2">
        <f t="shared" si="105"/>
        <v>71900.390316400095</v>
      </c>
      <c r="AY27" s="2">
        <f t="shared" si="105"/>
        <v>71181.38641323609</v>
      </c>
      <c r="AZ27" s="2">
        <f t="shared" si="105"/>
        <v>70469.57254910373</v>
      </c>
      <c r="BA27" s="2">
        <f t="shared" si="105"/>
        <v>69764.876823612693</v>
      </c>
      <c r="BB27" s="2">
        <f t="shared" si="105"/>
        <v>69067.228055376559</v>
      </c>
      <c r="BC27" s="2">
        <f t="shared" si="105"/>
        <v>68376.555774822787</v>
      </c>
      <c r="BD27" s="2">
        <f t="shared" si="105"/>
        <v>67692.790217074566</v>
      </c>
      <c r="BE27" s="2">
        <f t="shared" si="105"/>
        <v>67015.862314903818</v>
      </c>
      <c r="BF27" s="2">
        <f t="shared" si="105"/>
        <v>66345.703691754781</v>
      </c>
      <c r="BG27" s="2">
        <f t="shared" si="105"/>
        <v>65682.246654837232</v>
      </c>
      <c r="BH27" s="2">
        <f t="shared" ref="BH27:CM27" si="106">BG27*(1+$AD$30)</f>
        <v>65025.42418828886</v>
      </c>
      <c r="BI27" s="2">
        <f t="shared" si="106"/>
        <v>64375.169946405971</v>
      </c>
      <c r="BJ27" s="2">
        <f t="shared" si="106"/>
        <v>63731.41824694191</v>
      </c>
      <c r="BK27" s="2">
        <f t="shared" si="106"/>
        <v>63094.104064472493</v>
      </c>
      <c r="BL27" s="2">
        <f t="shared" si="106"/>
        <v>62463.163023827765</v>
      </c>
      <c r="BM27" s="2">
        <f t="shared" si="106"/>
        <v>61838.531393589488</v>
      </c>
      <c r="BN27" s="2">
        <f t="shared" si="106"/>
        <v>61220.14607965359</v>
      </c>
      <c r="BO27" s="2">
        <f t="shared" si="106"/>
        <v>60607.944618857051</v>
      </c>
      <c r="BP27" s="2">
        <f t="shared" si="106"/>
        <v>60001.865172668477</v>
      </c>
      <c r="BQ27" s="2">
        <f t="shared" si="106"/>
        <v>59401.846520941792</v>
      </c>
      <c r="BR27" s="2">
        <f t="shared" si="106"/>
        <v>58807.828055732374</v>
      </c>
      <c r="BS27" s="2">
        <f t="shared" si="106"/>
        <v>58219.749775175049</v>
      </c>
      <c r="BT27" s="2">
        <f t="shared" si="106"/>
        <v>57637.552277423296</v>
      </c>
      <c r="BU27" s="2">
        <f t="shared" si="106"/>
        <v>57061.176754649059</v>
      </c>
      <c r="BV27" s="2">
        <f t="shared" si="106"/>
        <v>56490.564987102567</v>
      </c>
      <c r="BW27" s="2">
        <f t="shared" si="106"/>
        <v>55925.65933723154</v>
      </c>
      <c r="BX27" s="2">
        <f t="shared" si="106"/>
        <v>55366.402743859224</v>
      </c>
      <c r="BY27" s="2">
        <f t="shared" si="106"/>
        <v>54812.73871642063</v>
      </c>
      <c r="BZ27" s="2">
        <f t="shared" si="106"/>
        <v>54264.611329256426</v>
      </c>
      <c r="CA27" s="2">
        <f t="shared" si="106"/>
        <v>53721.965215963864</v>
      </c>
      <c r="CB27" s="2">
        <f t="shared" si="106"/>
        <v>53184.745563804223</v>
      </c>
      <c r="CC27" s="2">
        <f t="shared" si="106"/>
        <v>52652.898108166177</v>
      </c>
      <c r="CD27" s="2">
        <f t="shared" si="106"/>
        <v>52126.369127084516</v>
      </c>
      <c r="CE27" s="2">
        <f t="shared" si="106"/>
        <v>51605.105435813668</v>
      </c>
      <c r="CF27" s="2">
        <f t="shared" si="106"/>
        <v>51089.054381455528</v>
      </c>
      <c r="CG27" s="2">
        <f t="shared" si="106"/>
        <v>50578.163837640968</v>
      </c>
      <c r="CH27" s="2">
        <f t="shared" si="106"/>
        <v>50072.382199264561</v>
      </c>
      <c r="CI27" s="2">
        <f t="shared" si="106"/>
        <v>49571.658377271917</v>
      </c>
      <c r="CJ27" s="2">
        <f t="shared" si="106"/>
        <v>49075.941793499194</v>
      </c>
      <c r="CK27" s="2">
        <f t="shared" si="106"/>
        <v>48585.182375564204</v>
      </c>
      <c r="CL27" s="2">
        <f t="shared" si="106"/>
        <v>48099.330551808562</v>
      </c>
      <c r="CM27" s="2">
        <f t="shared" si="106"/>
        <v>47618.337246290474</v>
      </c>
      <c r="CN27" s="2">
        <f t="shared" ref="CN27:DP27" si="107">CM27*(1+$AD$30)</f>
        <v>47142.15387382757</v>
      </c>
      <c r="CO27" s="2">
        <f t="shared" si="107"/>
        <v>46670.732335089291</v>
      </c>
      <c r="CP27" s="2">
        <f t="shared" si="107"/>
        <v>46204.025011738398</v>
      </c>
      <c r="CQ27" s="2">
        <f t="shared" si="107"/>
        <v>45741.984761621017</v>
      </c>
      <c r="CR27" s="2">
        <f t="shared" si="107"/>
        <v>45284.564914004804</v>
      </c>
      <c r="CS27" s="2">
        <f t="shared" si="107"/>
        <v>44831.719264864754</v>
      </c>
      <c r="CT27" s="2">
        <f t="shared" si="107"/>
        <v>44383.402072216108</v>
      </c>
      <c r="CU27" s="2">
        <f t="shared" si="107"/>
        <v>43939.568051493945</v>
      </c>
      <c r="CV27" s="2">
        <f t="shared" si="107"/>
        <v>43500.172370979002</v>
      </c>
      <c r="CW27" s="2">
        <f t="shared" si="107"/>
        <v>43065.170647269209</v>
      </c>
      <c r="CX27" s="2">
        <f t="shared" si="107"/>
        <v>42634.518940796515</v>
      </c>
      <c r="CY27" s="2">
        <f t="shared" si="107"/>
        <v>42208.173751388553</v>
      </c>
      <c r="CZ27" s="2">
        <f t="shared" si="107"/>
        <v>41786.092013874666</v>
      </c>
      <c r="DA27" s="2">
        <f t="shared" si="107"/>
        <v>41368.231093735922</v>
      </c>
      <c r="DB27" s="2">
        <f t="shared" si="107"/>
        <v>40954.548782798563</v>
      </c>
      <c r="DC27" s="2">
        <f t="shared" si="107"/>
        <v>40545.003294970578</v>
      </c>
      <c r="DD27" s="2">
        <f t="shared" si="107"/>
        <v>40139.553262020869</v>
      </c>
      <c r="DE27" s="2">
        <f t="shared" si="107"/>
        <v>39738.157729400657</v>
      </c>
      <c r="DF27" s="2">
        <f t="shared" si="107"/>
        <v>39340.77615210665</v>
      </c>
      <c r="DG27" s="2">
        <f t="shared" si="107"/>
        <v>38947.36839058558</v>
      </c>
      <c r="DH27" s="2">
        <f t="shared" si="107"/>
        <v>38557.894706679726</v>
      </c>
      <c r="DI27" s="2">
        <f t="shared" si="107"/>
        <v>38172.315759612931</v>
      </c>
      <c r="DJ27" s="2">
        <f t="shared" si="107"/>
        <v>37790.592602016804</v>
      </c>
      <c r="DK27" s="2">
        <f t="shared" si="107"/>
        <v>37412.686675996636</v>
      </c>
      <c r="DL27" s="2">
        <f t="shared" si="107"/>
        <v>37038.559809236671</v>
      </c>
      <c r="DM27" s="2">
        <f t="shared" si="107"/>
        <v>36668.174211144302</v>
      </c>
      <c r="DN27" s="2">
        <f t="shared" si="107"/>
        <v>36301.492469032855</v>
      </c>
      <c r="DO27" s="2">
        <f t="shared" si="107"/>
        <v>35938.477544342524</v>
      </c>
      <c r="DP27" s="2">
        <f t="shared" si="107"/>
        <v>35579.0927688991</v>
      </c>
    </row>
    <row r="28" spans="1:120" x14ac:dyDescent="0.2">
      <c r="B28" s="2" t="s">
        <v>1</v>
      </c>
      <c r="C28" s="2">
        <v>901</v>
      </c>
      <c r="G28" s="2">
        <v>899</v>
      </c>
      <c r="H28" s="2">
        <f>G28</f>
        <v>899</v>
      </c>
      <c r="I28" s="2">
        <f t="shared" ref="I28:J28" si="108">H28</f>
        <v>899</v>
      </c>
      <c r="J28" s="2">
        <f t="shared" si="108"/>
        <v>899</v>
      </c>
      <c r="Q28" s="2">
        <f>J28</f>
        <v>899</v>
      </c>
      <c r="R28" s="2">
        <f>Q28</f>
        <v>899</v>
      </c>
      <c r="S28" s="2">
        <f t="shared" ref="S28:V28" si="109">R28</f>
        <v>899</v>
      </c>
      <c r="T28" s="2">
        <f t="shared" si="109"/>
        <v>899</v>
      </c>
      <c r="U28" s="2">
        <f t="shared" si="109"/>
        <v>899</v>
      </c>
      <c r="V28" s="2">
        <f t="shared" si="109"/>
        <v>899</v>
      </c>
      <c r="W28" s="2">
        <f t="shared" ref="W28:AA28" si="110">V28</f>
        <v>899</v>
      </c>
      <c r="X28" s="2">
        <f t="shared" si="110"/>
        <v>899</v>
      </c>
      <c r="Y28" s="2">
        <f t="shared" si="110"/>
        <v>899</v>
      </c>
      <c r="Z28" s="2">
        <f t="shared" si="110"/>
        <v>899</v>
      </c>
      <c r="AA28" s="2">
        <f t="shared" si="110"/>
        <v>899</v>
      </c>
    </row>
    <row r="29" spans="1:120" x14ac:dyDescent="0.2">
      <c r="B29" s="2" t="s">
        <v>51</v>
      </c>
      <c r="C29" s="1">
        <f t="shared" ref="C29:H29" si="111">C27/C28</f>
        <v>2.611542730299667</v>
      </c>
      <c r="D29" s="1" t="e">
        <f t="shared" si="111"/>
        <v>#DIV/0!</v>
      </c>
      <c r="E29" s="1" t="e">
        <f t="shared" si="111"/>
        <v>#DIV/0!</v>
      </c>
      <c r="F29" s="1" t="e">
        <f t="shared" si="111"/>
        <v>#DIV/0!</v>
      </c>
      <c r="G29" s="1">
        <f t="shared" si="111"/>
        <v>4.8553948832035596</v>
      </c>
      <c r="H29" s="1">
        <f t="shared" si="111"/>
        <v>5.7198650055617355</v>
      </c>
      <c r="I29" s="1">
        <f t="shared" ref="I29:L29" si="112">I27/I28</f>
        <v>6.8595499376729716</v>
      </c>
      <c r="J29" s="1">
        <f t="shared" si="112"/>
        <v>8.1224000775865228</v>
      </c>
      <c r="L29" s="1" t="e">
        <f t="shared" si="112"/>
        <v>#DIV/0!</v>
      </c>
      <c r="M29" s="1" t="e">
        <f t="shared" ref="M29" si="113">M27/M28</f>
        <v>#DIV/0!</v>
      </c>
      <c r="N29" s="1" t="e">
        <f t="shared" ref="N29" si="114">N27/N28</f>
        <v>#DIV/0!</v>
      </c>
      <c r="O29" s="1" t="e">
        <f t="shared" ref="O29" si="115">O27/O28</f>
        <v>#DIV/0!</v>
      </c>
      <c r="P29" s="1" t="e">
        <f t="shared" ref="P29" si="116">P27/P28</f>
        <v>#DIV/0!</v>
      </c>
      <c r="Q29" s="1">
        <f t="shared" ref="Q29" si="117">Q27/Q28</f>
        <v>25.557209904024795</v>
      </c>
      <c r="R29" s="1">
        <f t="shared" ref="R29" si="118">R27/R28</f>
        <v>39.169287922732202</v>
      </c>
      <c r="S29" s="1">
        <f t="shared" ref="S29" si="119">S27/S28</f>
        <v>43.767215142813768</v>
      </c>
      <c r="T29" s="1">
        <f t="shared" ref="T29" si="120">T27/T28</f>
        <v>48.814841848806587</v>
      </c>
      <c r="U29" s="1">
        <f t="shared" ref="U29:V29" si="121">U27/U28</f>
        <v>54.353962685704722</v>
      </c>
      <c r="V29" s="1">
        <f t="shared" si="121"/>
        <v>60.430184841449304</v>
      </c>
      <c r="W29" s="1">
        <f t="shared" ref="W29" si="122">W27/W28</f>
        <v>67.093273186936926</v>
      </c>
      <c r="X29" s="1">
        <f t="shared" ref="X29" si="123">X27/X28</f>
        <v>74.397526558591196</v>
      </c>
      <c r="Y29" s="1">
        <f t="shared" ref="Y29" si="124">Y27/Y28</f>
        <v>82.402187989518282</v>
      </c>
      <c r="Z29" s="1">
        <f t="shared" ref="Z29" si="125">Z27/Z28</f>
        <v>91.171891947937439</v>
      </c>
      <c r="AA29" s="1">
        <f t="shared" ref="AA29" si="126">AA27/AA28</f>
        <v>100.77715191699207</v>
      </c>
      <c r="AC29" s="2" t="s">
        <v>119</v>
      </c>
      <c r="AD29" s="10">
        <v>0.02</v>
      </c>
    </row>
    <row r="30" spans="1:120" x14ac:dyDescent="0.2">
      <c r="AC30" s="2" t="s">
        <v>120</v>
      </c>
      <c r="AD30" s="10">
        <v>-0.01</v>
      </c>
    </row>
    <row r="31" spans="1:120" s="7" customFormat="1" x14ac:dyDescent="0.2">
      <c r="A31" s="2"/>
      <c r="B31" s="7" t="s">
        <v>52</v>
      </c>
      <c r="G31" s="9">
        <f>G17/C17-1</f>
        <v>0.45164233576642343</v>
      </c>
      <c r="H31" s="9" t="e">
        <f t="shared" ref="H31:J31" si="127">H17/D17-1</f>
        <v>#DIV/0!</v>
      </c>
      <c r="I31" s="9" t="e">
        <f t="shared" si="127"/>
        <v>#DIV/0!</v>
      </c>
      <c r="J31" s="9" t="e">
        <f t="shared" si="127"/>
        <v>#DIV/0!</v>
      </c>
      <c r="M31" s="9" t="e">
        <f t="shared" ref="M31:V31" si="128">M17/L17-1</f>
        <v>#DIV/0!</v>
      </c>
      <c r="N31" s="9" t="e">
        <f t="shared" si="128"/>
        <v>#DIV/0!</v>
      </c>
      <c r="O31" s="9" t="e">
        <f t="shared" si="128"/>
        <v>#DIV/0!</v>
      </c>
      <c r="P31" s="9" t="e">
        <f t="shared" si="128"/>
        <v>#DIV/0!</v>
      </c>
      <c r="Q31" s="9" t="e">
        <f t="shared" si="128"/>
        <v>#DIV/0!</v>
      </c>
      <c r="R31" s="9">
        <f t="shared" si="128"/>
        <v>9.000000000000008E-2</v>
      </c>
      <c r="S31" s="9">
        <f t="shared" si="128"/>
        <v>9.000000000000008E-2</v>
      </c>
      <c r="T31" s="9">
        <f t="shared" si="128"/>
        <v>9.000000000000008E-2</v>
      </c>
      <c r="U31" s="9">
        <f t="shared" si="128"/>
        <v>9.000000000000008E-2</v>
      </c>
      <c r="V31" s="9">
        <f t="shared" si="128"/>
        <v>9.000000000000008E-2</v>
      </c>
      <c r="W31" s="9">
        <f t="shared" ref="W31:AA31" si="129">W17/V17-1</f>
        <v>9.000000000000008E-2</v>
      </c>
      <c r="X31" s="9">
        <f t="shared" si="129"/>
        <v>9.000000000000008E-2</v>
      </c>
      <c r="Y31" s="9">
        <f t="shared" si="129"/>
        <v>9.000000000000008E-2</v>
      </c>
      <c r="Z31" s="9">
        <f t="shared" si="129"/>
        <v>9.000000000000008E-2</v>
      </c>
      <c r="AA31" s="9">
        <f t="shared" si="129"/>
        <v>9.000000000000008E-2</v>
      </c>
      <c r="AC31" s="2" t="s">
        <v>121</v>
      </c>
      <c r="AD31" s="10">
        <v>7.0000000000000007E-2</v>
      </c>
    </row>
    <row r="32" spans="1:120" x14ac:dyDescent="0.2">
      <c r="B32" s="2" t="s">
        <v>53</v>
      </c>
      <c r="C32" s="10">
        <f>C19/C17</f>
        <v>0.80907846715328469</v>
      </c>
      <c r="D32" s="10" t="e">
        <f t="shared" ref="D32:J32" si="130">D19/D17</f>
        <v>#DIV/0!</v>
      </c>
      <c r="E32" s="10" t="e">
        <f t="shared" si="130"/>
        <v>#DIV/0!</v>
      </c>
      <c r="F32" s="10" t="e">
        <f t="shared" si="130"/>
        <v>#DIV/0!</v>
      </c>
      <c r="G32" s="10">
        <f t="shared" si="130"/>
        <v>0.82526712759270904</v>
      </c>
      <c r="H32" s="10">
        <f t="shared" si="130"/>
        <v>0.83</v>
      </c>
      <c r="I32" s="10">
        <f t="shared" si="130"/>
        <v>0.83</v>
      </c>
      <c r="J32" s="10">
        <f t="shared" si="130"/>
        <v>0.83000000000000007</v>
      </c>
      <c r="L32" s="10" t="e">
        <f t="shared" ref="L32:Q32" si="131">L19/L17</f>
        <v>#DIV/0!</v>
      </c>
      <c r="M32" s="10" t="e">
        <f t="shared" si="131"/>
        <v>#DIV/0!</v>
      </c>
      <c r="N32" s="10" t="e">
        <f t="shared" si="131"/>
        <v>#DIV/0!</v>
      </c>
      <c r="O32" s="10" t="e">
        <f t="shared" si="131"/>
        <v>#DIV/0!</v>
      </c>
      <c r="P32" s="10" t="e">
        <f t="shared" si="131"/>
        <v>#DIV/0!</v>
      </c>
      <c r="Q32" s="10">
        <f t="shared" si="131"/>
        <v>0.82898020417856255</v>
      </c>
      <c r="R32" s="10">
        <f t="shared" ref="R32:V32" si="132">R19/R17</f>
        <v>0.83</v>
      </c>
      <c r="S32" s="10">
        <f t="shared" si="132"/>
        <v>0.83</v>
      </c>
      <c r="T32" s="10">
        <f t="shared" si="132"/>
        <v>0.83</v>
      </c>
      <c r="U32" s="10">
        <f t="shared" si="132"/>
        <v>0.83</v>
      </c>
      <c r="V32" s="10">
        <f t="shared" si="132"/>
        <v>0.83</v>
      </c>
      <c r="W32" s="10">
        <f t="shared" ref="W32:AA32" si="133">W19/W17</f>
        <v>0.83000000000000007</v>
      </c>
      <c r="X32" s="10">
        <f t="shared" si="133"/>
        <v>0.83</v>
      </c>
      <c r="Y32" s="10">
        <f t="shared" si="133"/>
        <v>0.83</v>
      </c>
      <c r="Z32" s="10">
        <f t="shared" si="133"/>
        <v>0.83</v>
      </c>
      <c r="AA32" s="10">
        <f t="shared" si="133"/>
        <v>0.83</v>
      </c>
      <c r="AC32" s="2" t="s">
        <v>122</v>
      </c>
      <c r="AD32" s="2">
        <f>NPV(AD31,Q27:XFD27)+Main!K6-Main!K7</f>
        <v>887331.52989786386</v>
      </c>
    </row>
    <row r="33" spans="2:30" x14ac:dyDescent="0.2">
      <c r="B33" s="2" t="s">
        <v>118</v>
      </c>
      <c r="C33" s="10"/>
      <c r="G33" s="10">
        <f>G21/C21-1</f>
        <v>0.26485655737704916</v>
      </c>
      <c r="H33" s="10" t="e">
        <f t="shared" ref="H33:J33" si="134">H21/D21-1</f>
        <v>#DIV/0!</v>
      </c>
      <c r="I33" s="10" t="e">
        <f t="shared" si="134"/>
        <v>#DIV/0!</v>
      </c>
      <c r="J33" s="10" t="e">
        <f t="shared" si="134"/>
        <v>#DIV/0!</v>
      </c>
      <c r="M33" s="10"/>
      <c r="N33" s="10"/>
      <c r="O33" s="10"/>
      <c r="P33" s="10"/>
      <c r="Q33" s="10"/>
      <c r="R33" s="10">
        <f>R21/Q21-1</f>
        <v>4.0000000000000036E-2</v>
      </c>
      <c r="S33" s="10">
        <f t="shared" ref="S33:V33" si="135">S21/R21-1</f>
        <v>4.0000000000000036E-2</v>
      </c>
      <c r="T33" s="10">
        <f t="shared" si="135"/>
        <v>4.0000000000000036E-2</v>
      </c>
      <c r="U33" s="10">
        <f t="shared" si="135"/>
        <v>4.0000000000000036E-2</v>
      </c>
      <c r="V33" s="10">
        <f t="shared" si="135"/>
        <v>4.0000000000000036E-2</v>
      </c>
      <c r="W33" s="10">
        <f t="shared" ref="W33:AA33" si="136">W21/V21-1</f>
        <v>4.0000000000000036E-2</v>
      </c>
      <c r="X33" s="10">
        <f t="shared" si="136"/>
        <v>4.0000000000000036E-2</v>
      </c>
      <c r="Y33" s="10">
        <f t="shared" si="136"/>
        <v>4.0000000000000036E-2</v>
      </c>
      <c r="Z33" s="10">
        <f t="shared" si="136"/>
        <v>4.0000000000000036E-2</v>
      </c>
      <c r="AA33" s="10">
        <f t="shared" si="136"/>
        <v>4.0000000000000036E-2</v>
      </c>
      <c r="AC33" s="2" t="s">
        <v>123</v>
      </c>
      <c r="AD33" s="1">
        <f>AD32/Main!K4</f>
        <v>936.26544329149374</v>
      </c>
    </row>
    <row r="34" spans="2:30" x14ac:dyDescent="0.2">
      <c r="AD34" s="10">
        <f>AD33/Main!K3-1</f>
        <v>0.36681086611896907</v>
      </c>
    </row>
    <row r="35" spans="2:30" x14ac:dyDescent="0.2">
      <c r="B35" s="2" t="s">
        <v>54</v>
      </c>
      <c r="C35" s="2">
        <f>C36-SUM(C57:C59)</f>
        <v>0</v>
      </c>
      <c r="D35" s="2">
        <f>D36-SUM(D57:D59)</f>
        <v>0</v>
      </c>
      <c r="E35" s="2">
        <f>E36-SUM(E57:E59)</f>
        <v>0</v>
      </c>
      <c r="F35" s="2">
        <f>F36-SUM(F57:F59)</f>
        <v>0</v>
      </c>
      <c r="G35" s="2">
        <f>G36-SUM(G57:G58)</f>
        <v>-3466</v>
      </c>
      <c r="H35" s="2">
        <f>G35+H27</f>
        <v>1676.1586400000006</v>
      </c>
      <c r="I35" s="2">
        <f t="shared" ref="I35:J35" si="137">H35+I27</f>
        <v>7842.8940339680021</v>
      </c>
      <c r="J35" s="2">
        <f t="shared" si="137"/>
        <v>15144.931703718286</v>
      </c>
      <c r="L35" s="2">
        <f>L36-SUM(L57:L59)</f>
        <v>0</v>
      </c>
      <c r="M35" s="2">
        <f>M36-SUM(M57:M59)</f>
        <v>0</v>
      </c>
      <c r="N35" s="2">
        <f>N36-SUM(N57:N59)</f>
        <v>0</v>
      </c>
      <c r="O35" s="2">
        <f>O36-SUM(O57:O59)</f>
        <v>0</v>
      </c>
      <c r="P35" s="2">
        <f>P36-SUM(P57:P59)</f>
        <v>0</v>
      </c>
      <c r="Q35" s="2">
        <f>J35</f>
        <v>15144.931703718286</v>
      </c>
      <c r="R35" s="2">
        <f>Q35+R27</f>
        <v>50358.121546254537</v>
      </c>
      <c r="S35" s="2">
        <f t="shared" ref="S35:V35" si="138">R35+S27</f>
        <v>89704.847959644118</v>
      </c>
      <c r="T35" s="2">
        <f t="shared" si="138"/>
        <v>133589.39078172125</v>
      </c>
      <c r="U35" s="2">
        <f t="shared" si="138"/>
        <v>182453.60323616979</v>
      </c>
      <c r="V35" s="2">
        <f t="shared" si="138"/>
        <v>236780.33940863272</v>
      </c>
      <c r="W35" s="2">
        <f t="shared" ref="W35:AA35" si="139">V35+W27</f>
        <v>297097.19200368901</v>
      </c>
      <c r="X35" s="2">
        <f t="shared" si="139"/>
        <v>363980.56837986247</v>
      </c>
      <c r="Y35" s="2">
        <f t="shared" si="139"/>
        <v>438060.13538243942</v>
      </c>
      <c r="Z35" s="2">
        <f t="shared" si="139"/>
        <v>520023.66624363518</v>
      </c>
      <c r="AA35" s="2">
        <f t="shared" si="139"/>
        <v>610622.32581701106</v>
      </c>
    </row>
    <row r="36" spans="2:30" x14ac:dyDescent="0.2">
      <c r="B36" s="2" t="s">
        <v>3</v>
      </c>
      <c r="G36" s="2">
        <f>3093+128</f>
        <v>3221</v>
      </c>
    </row>
    <row r="37" spans="2:30" x14ac:dyDescent="0.2">
      <c r="B37" s="2" t="s">
        <v>55</v>
      </c>
      <c r="G37" s="2">
        <v>12037</v>
      </c>
      <c r="X37" s="10"/>
    </row>
    <row r="38" spans="2:30" x14ac:dyDescent="0.2">
      <c r="B38" s="2" t="s">
        <v>61</v>
      </c>
      <c r="G38" s="2">
        <v>1966.6</v>
      </c>
      <c r="AB38" s="31">
        <v>4.3999999999999997E-2</v>
      </c>
    </row>
    <row r="39" spans="2:30" x14ac:dyDescent="0.2">
      <c r="B39" s="2" t="s">
        <v>56</v>
      </c>
      <c r="G39" s="2">
        <v>9311</v>
      </c>
      <c r="AB39" s="31">
        <f>AB40-AB38</f>
        <v>2.6000000000000009E-2</v>
      </c>
    </row>
    <row r="40" spans="2:30" x14ac:dyDescent="0.2">
      <c r="B40" s="2" t="s">
        <v>57</v>
      </c>
      <c r="G40" s="2">
        <v>14654</v>
      </c>
      <c r="AA40" s="2" t="s">
        <v>348</v>
      </c>
      <c r="AB40" s="10">
        <v>7.0000000000000007E-2</v>
      </c>
    </row>
    <row r="41" spans="2:30" x14ac:dyDescent="0.2">
      <c r="B41" s="2" t="s">
        <v>58</v>
      </c>
      <c r="G41" s="2">
        <v>72</v>
      </c>
    </row>
    <row r="42" spans="2:30" x14ac:dyDescent="0.2">
      <c r="B42" s="2" t="s">
        <v>59</v>
      </c>
      <c r="G42" s="2">
        <v>3223</v>
      </c>
    </row>
    <row r="43" spans="2:30" x14ac:dyDescent="0.2">
      <c r="B43" s="2" t="s">
        <v>60</v>
      </c>
      <c r="G43" s="2">
        <v>5771</v>
      </c>
    </row>
    <row r="44" spans="2:30" x14ac:dyDescent="0.2">
      <c r="B44" s="2" t="s">
        <v>62</v>
      </c>
      <c r="G44" s="2">
        <v>6012</v>
      </c>
    </row>
    <row r="45" spans="2:30" x14ac:dyDescent="0.2">
      <c r="B45" s="2" t="s">
        <v>77</v>
      </c>
      <c r="G45" s="2">
        <v>8573</v>
      </c>
    </row>
    <row r="46" spans="2:30" x14ac:dyDescent="0.2">
      <c r="B46" s="2" t="s">
        <v>63</v>
      </c>
      <c r="G46" s="2">
        <v>18474</v>
      </c>
    </row>
    <row r="47" spans="2:30" x14ac:dyDescent="0.2">
      <c r="B47" s="2" t="s">
        <v>64</v>
      </c>
      <c r="G47" s="2">
        <v>6075</v>
      </c>
    </row>
    <row r="48" spans="2:30" x14ac:dyDescent="0.2">
      <c r="B48" s="2" t="s">
        <v>65</v>
      </c>
      <c r="G48" s="2">
        <f>SUM(G36:G47)</f>
        <v>89389.6</v>
      </c>
    </row>
    <row r="50" spans="2:7" x14ac:dyDescent="0.2">
      <c r="B50" s="2" t="s">
        <v>4</v>
      </c>
      <c r="G50" s="2">
        <f>4016+34449</f>
        <v>38465</v>
      </c>
    </row>
    <row r="51" spans="2:7" x14ac:dyDescent="0.2">
      <c r="B51" s="2" t="s">
        <v>66</v>
      </c>
      <c r="G51" s="2">
        <v>3442</v>
      </c>
    </row>
    <row r="52" spans="2:7" x14ac:dyDescent="0.2">
      <c r="B52" s="2" t="s">
        <v>67</v>
      </c>
      <c r="G52" s="2">
        <v>1114</v>
      </c>
    </row>
    <row r="53" spans="2:7" x14ac:dyDescent="0.2">
      <c r="B53" s="2" t="s">
        <v>79</v>
      </c>
      <c r="G53" s="2">
        <v>11550</v>
      </c>
    </row>
    <row r="54" spans="2:7" x14ac:dyDescent="0.2">
      <c r="B54" s="2" t="s">
        <v>80</v>
      </c>
      <c r="G54" s="2">
        <v>0</v>
      </c>
    </row>
    <row r="55" spans="2:7" x14ac:dyDescent="0.2">
      <c r="B55" s="2" t="s">
        <v>77</v>
      </c>
      <c r="G55" s="2">
        <v>6176</v>
      </c>
    </row>
    <row r="56" spans="2:7" x14ac:dyDescent="0.2">
      <c r="B56" s="2" t="s">
        <v>68</v>
      </c>
      <c r="G56" s="2">
        <v>3770</v>
      </c>
    </row>
    <row r="57" spans="2:7" x14ac:dyDescent="0.2">
      <c r="B57" s="2" t="s">
        <v>78</v>
      </c>
      <c r="G57" s="2">
        <v>1316</v>
      </c>
    </row>
    <row r="58" spans="2:7" x14ac:dyDescent="0.2">
      <c r="B58" s="2" t="s">
        <v>77</v>
      </c>
      <c r="G58" s="2">
        <v>5371</v>
      </c>
    </row>
    <row r="59" spans="2:7" x14ac:dyDescent="0.2">
      <c r="B59" s="2" t="s">
        <v>69</v>
      </c>
      <c r="G59" s="2">
        <v>2288</v>
      </c>
    </row>
    <row r="60" spans="2:7" x14ac:dyDescent="0.2">
      <c r="B60" s="2" t="s">
        <v>70</v>
      </c>
      <c r="G60" s="2">
        <f>SUM(G50:G59)</f>
        <v>73492</v>
      </c>
    </row>
    <row r="61" spans="2:7" x14ac:dyDescent="0.2">
      <c r="B61" s="2" t="s">
        <v>72</v>
      </c>
      <c r="G61" s="2">
        <f>G48-G60</f>
        <v>15897.600000000006</v>
      </c>
    </row>
    <row r="62" spans="2:7" x14ac:dyDescent="0.2">
      <c r="B62" s="2" t="s">
        <v>71</v>
      </c>
      <c r="G62" s="2">
        <f>G61+G60</f>
        <v>89389.6</v>
      </c>
    </row>
    <row r="64" spans="2:7" x14ac:dyDescent="0.2">
      <c r="B64" s="2" t="s">
        <v>73</v>
      </c>
      <c r="C64" s="2">
        <f>C27</f>
        <v>2353</v>
      </c>
      <c r="D64" s="2">
        <f>D27</f>
        <v>0</v>
      </c>
      <c r="E64" s="2">
        <f>E27</f>
        <v>0</v>
      </c>
      <c r="F64" s="2">
        <f>F27</f>
        <v>0</v>
      </c>
      <c r="G64" s="2">
        <f>G27</f>
        <v>4365</v>
      </c>
    </row>
    <row r="65" spans="2:7" x14ac:dyDescent="0.2">
      <c r="B65" s="2" t="s">
        <v>74</v>
      </c>
      <c r="C65" s="2">
        <v>2243</v>
      </c>
      <c r="G65" s="2">
        <v>2759</v>
      </c>
    </row>
    <row r="66" spans="2:7" x14ac:dyDescent="0.2">
      <c r="B66" s="2" t="s">
        <v>75</v>
      </c>
      <c r="G66" s="2">
        <v>463</v>
      </c>
    </row>
    <row r="67" spans="2:7" x14ac:dyDescent="0.2">
      <c r="B67" s="2" t="s">
        <v>76</v>
      </c>
      <c r="G67" s="2">
        <v>-392</v>
      </c>
    </row>
    <row r="68" spans="2:7" x14ac:dyDescent="0.2">
      <c r="B68" s="2" t="s">
        <v>81</v>
      </c>
      <c r="G68" s="2">
        <v>154</v>
      </c>
    </row>
    <row r="69" spans="2:7" x14ac:dyDescent="0.2">
      <c r="B69" s="2" t="s">
        <v>59</v>
      </c>
      <c r="G69" s="2">
        <v>149</v>
      </c>
    </row>
    <row r="70" spans="2:7" x14ac:dyDescent="0.2">
      <c r="B70" s="2" t="s">
        <v>82</v>
      </c>
      <c r="G70" s="2">
        <v>1572</v>
      </c>
    </row>
    <row r="71" spans="2:7" x14ac:dyDescent="0.2">
      <c r="B71" s="2" t="s">
        <v>83</v>
      </c>
      <c r="G71" s="2">
        <f>-3364+325</f>
        <v>-3039</v>
      </c>
    </row>
    <row r="72" spans="2:7" x14ac:dyDescent="0.2">
      <c r="B72" s="2" t="s">
        <v>84</v>
      </c>
      <c r="G72" s="2">
        <f>SUM(G36:G41)-SUM(G42:G47)</f>
        <v>-6866.4000000000015</v>
      </c>
    </row>
    <row r="73" spans="2:7" x14ac:dyDescent="0.2">
      <c r="B73" s="2" t="s">
        <v>85</v>
      </c>
      <c r="G73" s="2">
        <f>SUM(G65:G71)</f>
        <v>1666</v>
      </c>
    </row>
    <row r="75" spans="2:7" x14ac:dyDescent="0.2">
      <c r="B75" s="2" t="s">
        <v>86</v>
      </c>
      <c r="G75" s="2">
        <v>-1510</v>
      </c>
    </row>
    <row r="76" spans="2:7" x14ac:dyDescent="0.2">
      <c r="B76" s="2" t="s">
        <v>59</v>
      </c>
      <c r="G76" s="2">
        <f>72-197</f>
        <v>-125</v>
      </c>
    </row>
    <row r="77" spans="2:7" x14ac:dyDescent="0.2">
      <c r="B77" s="2" t="s">
        <v>87</v>
      </c>
      <c r="G77" s="2">
        <v>-1757</v>
      </c>
    </row>
    <row r="78" spans="2:7" x14ac:dyDescent="0.2">
      <c r="B78" s="2" t="s">
        <v>83</v>
      </c>
      <c r="G78" s="2">
        <v>39</v>
      </c>
    </row>
    <row r="79" spans="2:7" x14ac:dyDescent="0.2">
      <c r="B79" s="2" t="s">
        <v>88</v>
      </c>
      <c r="G79" s="2">
        <f>SUM(G75:G78)</f>
        <v>-3353</v>
      </c>
    </row>
    <row r="81" spans="2:8" x14ac:dyDescent="0.2">
      <c r="B81" s="2" t="s">
        <v>80</v>
      </c>
      <c r="G81" s="2">
        <v>-1346</v>
      </c>
    </row>
    <row r="82" spans="2:8" x14ac:dyDescent="0.2">
      <c r="B82" s="2" t="s">
        <v>89</v>
      </c>
      <c r="G82" s="2">
        <f>-1849+6461</f>
        <v>4612</v>
      </c>
    </row>
    <row r="83" spans="2:8" x14ac:dyDescent="0.2">
      <c r="B83" s="2" t="s">
        <v>90</v>
      </c>
      <c r="G83" s="2">
        <v>-1200</v>
      </c>
    </row>
    <row r="84" spans="2:8" x14ac:dyDescent="0.2">
      <c r="B84" s="2" t="s">
        <v>83</v>
      </c>
      <c r="G84" s="2">
        <v>-686</v>
      </c>
    </row>
    <row r="85" spans="2:8" x14ac:dyDescent="0.2">
      <c r="B85" s="2" t="s">
        <v>91</v>
      </c>
      <c r="G85" s="2">
        <f>SUM(G81:G84)</f>
        <v>1380</v>
      </c>
    </row>
    <row r="86" spans="2:8" x14ac:dyDescent="0.2">
      <c r="B86" s="2" t="s">
        <v>92</v>
      </c>
      <c r="C86" s="2">
        <v>-36</v>
      </c>
      <c r="G86" s="2">
        <v>132</v>
      </c>
    </row>
    <row r="87" spans="2:8" x14ac:dyDescent="0.2">
      <c r="B87" s="2" t="s">
        <v>93</v>
      </c>
      <c r="G87" s="2">
        <f>G73+G79+G85+G86</f>
        <v>-175</v>
      </c>
    </row>
    <row r="89" spans="2:8" x14ac:dyDescent="0.2">
      <c r="B89" s="2" t="s">
        <v>99</v>
      </c>
      <c r="G89" s="2">
        <v>8489</v>
      </c>
      <c r="H89" s="10">
        <f>G89/$G$94</f>
        <v>0.6669547454431175</v>
      </c>
    </row>
    <row r="90" spans="2:8" x14ac:dyDescent="0.2">
      <c r="B90" s="2" t="s">
        <v>100</v>
      </c>
      <c r="G90" s="2">
        <v>2389</v>
      </c>
      <c r="H90" s="10">
        <f t="shared" ref="H90:H93" si="140">G90/$G$94</f>
        <v>0.18769641734758014</v>
      </c>
    </row>
    <row r="91" spans="2:8" x14ac:dyDescent="0.2">
      <c r="B91" s="2" t="s">
        <v>101</v>
      </c>
      <c r="G91" s="2">
        <v>451</v>
      </c>
      <c r="H91" s="10">
        <f t="shared" si="140"/>
        <v>3.5433689503456947E-2</v>
      </c>
    </row>
    <row r="92" spans="2:8" x14ac:dyDescent="0.2">
      <c r="B92" s="2" t="s">
        <v>102</v>
      </c>
      <c r="G92" s="2">
        <v>402</v>
      </c>
      <c r="H92" s="10">
        <f t="shared" si="140"/>
        <v>3.1583909490886235E-2</v>
      </c>
    </row>
    <row r="93" spans="2:8" x14ac:dyDescent="0.2">
      <c r="B93" s="2" t="s">
        <v>103</v>
      </c>
      <c r="G93" s="2">
        <v>997</v>
      </c>
      <c r="H93" s="10">
        <f t="shared" si="140"/>
        <v>7.8331238214959145E-2</v>
      </c>
    </row>
    <row r="94" spans="2:8" x14ac:dyDescent="0.2">
      <c r="G94" s="2">
        <f>SUM(G89:G93)</f>
        <v>12728</v>
      </c>
    </row>
  </sheetData>
  <hyperlinks>
    <hyperlink ref="A1" location="Main!A1" display="Main" xr:uid="{87DF8049-26DF-4905-BACD-85C49EBD7562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F221-2168-4E03-8F61-52C2DF20122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8813-3D1E-4A9E-A516-334ACAC114C1}">
  <dimension ref="A1:E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8" sqref="D8"/>
    </sheetView>
  </sheetViews>
  <sheetFormatPr defaultRowHeight="12.75" x14ac:dyDescent="0.2"/>
  <cols>
    <col min="1" max="1" width="5" bestFit="1" customWidth="1"/>
  </cols>
  <sheetData>
    <row r="1" spans="1:5" x14ac:dyDescent="0.2">
      <c r="A1" s="4" t="s">
        <v>14</v>
      </c>
    </row>
    <row r="2" spans="1:5" x14ac:dyDescent="0.2">
      <c r="B2" t="s">
        <v>33</v>
      </c>
      <c r="C2" t="s">
        <v>34</v>
      </c>
      <c r="D2" t="s">
        <v>10</v>
      </c>
      <c r="E2" t="s">
        <v>32</v>
      </c>
    </row>
  </sheetData>
  <hyperlinks>
    <hyperlink ref="A1" location="Main!A1" display="Main" xr:uid="{68702C78-0E79-41C3-8141-0ECEA5C5323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051B-1DA4-4878-A4F2-4493F7143AF8}">
  <dimension ref="A1:H2"/>
  <sheetViews>
    <sheetView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9" sqref="D19"/>
    </sheetView>
  </sheetViews>
  <sheetFormatPr defaultRowHeight="12.75" x14ac:dyDescent="0.2"/>
  <cols>
    <col min="1" max="1" width="5" bestFit="1" customWidth="1"/>
  </cols>
  <sheetData>
    <row r="1" spans="1:8" x14ac:dyDescent="0.2">
      <c r="A1" s="4" t="s">
        <v>14</v>
      </c>
    </row>
    <row r="2" spans="1:8" x14ac:dyDescent="0.2">
      <c r="B2" t="s">
        <v>29</v>
      </c>
      <c r="C2" t="s">
        <v>6</v>
      </c>
      <c r="D2" t="s">
        <v>7</v>
      </c>
      <c r="E2" t="s">
        <v>30</v>
      </c>
      <c r="F2" t="s">
        <v>8</v>
      </c>
      <c r="G2" t="s">
        <v>31</v>
      </c>
      <c r="H2" t="s">
        <v>32</v>
      </c>
    </row>
  </sheetData>
  <hyperlinks>
    <hyperlink ref="A1" location="Main!A1" display="Main" xr:uid="{9C0804F9-70CE-4485-9C8A-22A1D2ECD7A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4FCAD-61D7-4A2F-914E-2906B0E5F55A}">
  <dimension ref="A1:N1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7" sqref="C17"/>
    </sheetView>
  </sheetViews>
  <sheetFormatPr defaultRowHeight="12.75" x14ac:dyDescent="0.2"/>
  <cols>
    <col min="1" max="1" width="5" bestFit="1" customWidth="1"/>
    <col min="3" max="3" width="11" bestFit="1" customWidth="1"/>
  </cols>
  <sheetData>
    <row r="1" spans="1:14" x14ac:dyDescent="0.2">
      <c r="A1" s="4" t="s">
        <v>14</v>
      </c>
    </row>
    <row r="2" spans="1:14" x14ac:dyDescent="0.2">
      <c r="B2" t="s">
        <v>35</v>
      </c>
      <c r="C2" t="s">
        <v>36</v>
      </c>
      <c r="D2" t="s">
        <v>37</v>
      </c>
      <c r="E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M2" t="s">
        <v>44</v>
      </c>
      <c r="N2" t="s">
        <v>45</v>
      </c>
    </row>
    <row r="3" spans="1:14" s="5" customFormat="1" x14ac:dyDescent="0.2">
      <c r="A3"/>
      <c r="B3" s="5" t="s">
        <v>46</v>
      </c>
    </row>
    <row r="5" spans="1:14" x14ac:dyDescent="0.2">
      <c r="B5" t="s">
        <v>95</v>
      </c>
      <c r="C5" t="s">
        <v>337</v>
      </c>
      <c r="E5" t="s">
        <v>330</v>
      </c>
    </row>
    <row r="6" spans="1:14" x14ac:dyDescent="0.2">
      <c r="B6" t="s">
        <v>96</v>
      </c>
      <c r="C6" t="s">
        <v>337</v>
      </c>
      <c r="E6" t="s">
        <v>330</v>
      </c>
    </row>
    <row r="7" spans="1:14" x14ac:dyDescent="0.2">
      <c r="B7" t="s">
        <v>97</v>
      </c>
      <c r="C7" t="s">
        <v>337</v>
      </c>
      <c r="E7" t="s">
        <v>330</v>
      </c>
    </row>
    <row r="8" spans="1:14" x14ac:dyDescent="0.2">
      <c r="B8" t="s">
        <v>328</v>
      </c>
      <c r="C8" t="s">
        <v>336</v>
      </c>
      <c r="E8" t="s">
        <v>329</v>
      </c>
    </row>
    <row r="9" spans="1:14" x14ac:dyDescent="0.2">
      <c r="B9" t="s">
        <v>331</v>
      </c>
      <c r="C9" t="s">
        <v>336</v>
      </c>
      <c r="E9" t="s">
        <v>329</v>
      </c>
    </row>
    <row r="10" spans="1:14" x14ac:dyDescent="0.2">
      <c r="B10" t="s">
        <v>332</v>
      </c>
      <c r="C10" t="s">
        <v>336</v>
      </c>
      <c r="E10" t="s">
        <v>329</v>
      </c>
    </row>
    <row r="11" spans="1:14" x14ac:dyDescent="0.2">
      <c r="B11" t="s">
        <v>333</v>
      </c>
      <c r="C11" t="s">
        <v>336</v>
      </c>
      <c r="E11" t="s">
        <v>329</v>
      </c>
    </row>
    <row r="12" spans="1:14" x14ac:dyDescent="0.2">
      <c r="B12" t="s">
        <v>334</v>
      </c>
      <c r="C12" t="s">
        <v>335</v>
      </c>
      <c r="E12" t="s">
        <v>329</v>
      </c>
    </row>
  </sheetData>
  <hyperlinks>
    <hyperlink ref="A1" location="Main!A1" display="Main" xr:uid="{A47F4495-C645-46E6-AB03-224D143A5DE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FC46-79AB-4D31-998B-F6F3117F2304}">
  <dimension ref="A1:R31"/>
  <sheetViews>
    <sheetView topLeftCell="A4" zoomScale="130" zoomScaleNormal="130" workbookViewId="0">
      <selection activeCell="D31" sqref="D31"/>
    </sheetView>
  </sheetViews>
  <sheetFormatPr defaultRowHeight="12.75" x14ac:dyDescent="0.2"/>
  <cols>
    <col min="1" max="1" width="5" bestFit="1" customWidth="1"/>
    <col min="2" max="2" width="15" bestFit="1" customWidth="1"/>
    <col min="3" max="3" width="11.140625" customWidth="1"/>
    <col min="4" max="4" width="12.85546875" customWidth="1"/>
    <col min="5" max="18" width="11.140625" bestFit="1" customWidth="1"/>
  </cols>
  <sheetData>
    <row r="1" spans="1:2" x14ac:dyDescent="0.2">
      <c r="A1" s="4" t="s">
        <v>14</v>
      </c>
    </row>
    <row r="2" spans="1:2" x14ac:dyDescent="0.2">
      <c r="B2" t="s">
        <v>35</v>
      </c>
    </row>
    <row r="3" spans="1:2" x14ac:dyDescent="0.2">
      <c r="B3" t="s">
        <v>36</v>
      </c>
    </row>
    <row r="4" spans="1:2" x14ac:dyDescent="0.2">
      <c r="B4" t="s">
        <v>7</v>
      </c>
    </row>
    <row r="5" spans="1:2" x14ac:dyDescent="0.2">
      <c r="B5" t="s">
        <v>10</v>
      </c>
    </row>
    <row r="6" spans="1:2" x14ac:dyDescent="0.2">
      <c r="B6" t="s">
        <v>211</v>
      </c>
    </row>
    <row r="7" spans="1:2" x14ac:dyDescent="0.2">
      <c r="B7" t="s">
        <v>210</v>
      </c>
    </row>
    <row r="8" spans="1:2" x14ac:dyDescent="0.2">
      <c r="B8" t="s">
        <v>212</v>
      </c>
    </row>
    <row r="9" spans="1:2" x14ac:dyDescent="0.2">
      <c r="B9" t="s">
        <v>11</v>
      </c>
    </row>
    <row r="10" spans="1:2" x14ac:dyDescent="0.2">
      <c r="B10" t="s">
        <v>209</v>
      </c>
    </row>
    <row r="20" spans="2:18" x14ac:dyDescent="0.2">
      <c r="C20" s="10"/>
    </row>
    <row r="22" spans="2:18" x14ac:dyDescent="0.2">
      <c r="C22">
        <v>2024</v>
      </c>
      <c r="D22">
        <f>C22+1</f>
        <v>2025</v>
      </c>
      <c r="E22">
        <f t="shared" ref="E22:R22" si="0">D22+1</f>
        <v>2026</v>
      </c>
      <c r="F22">
        <f t="shared" si="0"/>
        <v>2027</v>
      </c>
      <c r="G22">
        <f t="shared" si="0"/>
        <v>2028</v>
      </c>
      <c r="H22">
        <f t="shared" si="0"/>
        <v>2029</v>
      </c>
      <c r="I22">
        <f t="shared" si="0"/>
        <v>2030</v>
      </c>
      <c r="J22">
        <f t="shared" si="0"/>
        <v>2031</v>
      </c>
      <c r="K22">
        <f t="shared" si="0"/>
        <v>2032</v>
      </c>
      <c r="L22">
        <f t="shared" si="0"/>
        <v>2033</v>
      </c>
      <c r="M22">
        <f t="shared" si="0"/>
        <v>2034</v>
      </c>
      <c r="N22">
        <f t="shared" si="0"/>
        <v>2035</v>
      </c>
      <c r="O22">
        <f t="shared" si="0"/>
        <v>2036</v>
      </c>
      <c r="P22">
        <f t="shared" si="0"/>
        <v>2037</v>
      </c>
      <c r="Q22">
        <f t="shared" si="0"/>
        <v>2038</v>
      </c>
      <c r="R22">
        <f t="shared" si="0"/>
        <v>2039</v>
      </c>
    </row>
    <row r="23" spans="2:18" x14ac:dyDescent="0.2">
      <c r="B23" t="s">
        <v>213</v>
      </c>
      <c r="C23" s="2">
        <v>136000000</v>
      </c>
      <c r="D23" s="2">
        <f>C23*1.005</f>
        <v>136680000</v>
      </c>
      <c r="E23" s="2">
        <f t="shared" ref="E23:R23" si="1">D23*1.005</f>
        <v>137363400</v>
      </c>
      <c r="F23" s="2">
        <f t="shared" si="1"/>
        <v>138050217</v>
      </c>
      <c r="G23" s="2">
        <f t="shared" si="1"/>
        <v>138740468.08499998</v>
      </c>
      <c r="H23" s="2">
        <f t="shared" si="1"/>
        <v>139434170.42542496</v>
      </c>
      <c r="I23" s="2">
        <f t="shared" si="1"/>
        <v>140131341.27755207</v>
      </c>
      <c r="J23" s="2">
        <f t="shared" si="1"/>
        <v>140831997.98393983</v>
      </c>
      <c r="K23" s="2">
        <f t="shared" si="1"/>
        <v>141536157.97385952</v>
      </c>
      <c r="L23" s="2">
        <f t="shared" si="1"/>
        <v>142243838.7637288</v>
      </c>
      <c r="M23" s="2">
        <f t="shared" si="1"/>
        <v>142955057.95754743</v>
      </c>
      <c r="N23" s="2">
        <f t="shared" si="1"/>
        <v>143669833.24733514</v>
      </c>
      <c r="O23" s="2">
        <f t="shared" si="1"/>
        <v>144388182.4135718</v>
      </c>
      <c r="P23" s="2">
        <f t="shared" si="1"/>
        <v>145110123.32563964</v>
      </c>
      <c r="Q23" s="2">
        <f t="shared" si="1"/>
        <v>145835673.94226781</v>
      </c>
      <c r="R23" s="2">
        <f t="shared" si="1"/>
        <v>146564852.31197912</v>
      </c>
    </row>
    <row r="24" spans="2:18" x14ac:dyDescent="0.2">
      <c r="B24" t="s">
        <v>349</v>
      </c>
      <c r="C24" s="2">
        <f>C23*0.03</f>
        <v>4080000</v>
      </c>
      <c r="D24">
        <f>D23*0.04</f>
        <v>5467200</v>
      </c>
      <c r="E24">
        <f>E23*0.05</f>
        <v>6868170</v>
      </c>
      <c r="F24">
        <f t="shared" ref="F24:R24" si="2">F23*0.05</f>
        <v>6902510.8500000006</v>
      </c>
      <c r="G24">
        <f t="shared" si="2"/>
        <v>6937023.4042499997</v>
      </c>
      <c r="H24">
        <f t="shared" si="2"/>
        <v>6971708.5212712483</v>
      </c>
      <c r="I24">
        <f t="shared" si="2"/>
        <v>7006567.063877604</v>
      </c>
      <c r="J24">
        <f t="shared" si="2"/>
        <v>7041599.8991969917</v>
      </c>
      <c r="K24">
        <f t="shared" si="2"/>
        <v>7076807.8986929767</v>
      </c>
      <c r="L24">
        <f t="shared" si="2"/>
        <v>7112191.9381864406</v>
      </c>
      <c r="M24">
        <f t="shared" si="2"/>
        <v>7147752.8978773719</v>
      </c>
      <c r="N24">
        <f t="shared" si="2"/>
        <v>7183491.6623667572</v>
      </c>
      <c r="O24">
        <f t="shared" si="2"/>
        <v>7219409.1206785906</v>
      </c>
      <c r="P24">
        <f t="shared" si="2"/>
        <v>7255506.1662819823</v>
      </c>
      <c r="Q24">
        <f t="shared" si="2"/>
        <v>7291783.697113391</v>
      </c>
      <c r="R24">
        <f t="shared" si="2"/>
        <v>7328242.6155989561</v>
      </c>
    </row>
    <row r="25" spans="2:18" x14ac:dyDescent="0.2">
      <c r="B25" t="s">
        <v>0</v>
      </c>
      <c r="C25" s="2">
        <v>12000</v>
      </c>
      <c r="D25" s="2">
        <v>12000</v>
      </c>
      <c r="E25" s="2">
        <v>12000</v>
      </c>
      <c r="F25" s="2">
        <v>12000</v>
      </c>
      <c r="G25" s="2">
        <v>12000</v>
      </c>
      <c r="H25" s="2">
        <v>12000</v>
      </c>
      <c r="I25" s="2">
        <v>12000</v>
      </c>
      <c r="J25" s="2">
        <v>12000</v>
      </c>
      <c r="K25" s="2">
        <v>12000</v>
      </c>
      <c r="L25" s="2">
        <v>12000</v>
      </c>
      <c r="M25" s="2">
        <v>12000</v>
      </c>
      <c r="N25" s="2">
        <v>12000</v>
      </c>
      <c r="O25" s="2">
        <v>12000</v>
      </c>
      <c r="P25" s="2">
        <v>12000</v>
      </c>
      <c r="Q25" s="2">
        <v>12000</v>
      </c>
      <c r="R25" s="2">
        <v>12000</v>
      </c>
    </row>
    <row r="26" spans="2:18" x14ac:dyDescent="0.2">
      <c r="B26" t="s">
        <v>15</v>
      </c>
      <c r="C26" s="2">
        <f>C25*C24/1000000</f>
        <v>48960</v>
      </c>
      <c r="D26" s="2">
        <f t="shared" ref="D26:R26" si="3">D25*D24/1000000</f>
        <v>65606.399999999994</v>
      </c>
      <c r="E26" s="2">
        <f t="shared" si="3"/>
        <v>82418.039999999994</v>
      </c>
      <c r="F26" s="2">
        <f t="shared" si="3"/>
        <v>82830.1302</v>
      </c>
      <c r="G26" s="2">
        <f t="shared" si="3"/>
        <v>83244.280851000003</v>
      </c>
      <c r="H26" s="2">
        <f t="shared" si="3"/>
        <v>83660.502255254978</v>
      </c>
      <c r="I26" s="2">
        <f t="shared" si="3"/>
        <v>84078.804766531248</v>
      </c>
      <c r="J26" s="2">
        <f t="shared" si="3"/>
        <v>84499.198790363909</v>
      </c>
      <c r="K26" s="2">
        <f t="shared" si="3"/>
        <v>84921.694784315725</v>
      </c>
      <c r="L26" s="2">
        <f t="shared" si="3"/>
        <v>85346.303258237283</v>
      </c>
      <c r="M26" s="2">
        <f t="shared" si="3"/>
        <v>85773.034774528453</v>
      </c>
      <c r="N26" s="2">
        <f t="shared" si="3"/>
        <v>86201.899948401086</v>
      </c>
      <c r="O26" s="2">
        <f t="shared" si="3"/>
        <v>86632.90944814308</v>
      </c>
      <c r="P26" s="2">
        <f t="shared" si="3"/>
        <v>87066.073995383791</v>
      </c>
      <c r="Q26" s="2">
        <f t="shared" si="3"/>
        <v>87501.404365360693</v>
      </c>
      <c r="R26" s="2">
        <f t="shared" si="3"/>
        <v>87938.911387187472</v>
      </c>
    </row>
    <row r="28" spans="2:18" x14ac:dyDescent="0.2">
      <c r="C28" t="s">
        <v>121</v>
      </c>
      <c r="D28" s="10">
        <v>7.0000000000000007E-2</v>
      </c>
    </row>
    <row r="29" spans="2:18" x14ac:dyDescent="0.2">
      <c r="C29" t="s">
        <v>122</v>
      </c>
      <c r="D29" s="2">
        <f>NPV(D28,D26:R26)</f>
        <v>753525.64885395556</v>
      </c>
      <c r="E29" t="s">
        <v>351</v>
      </c>
    </row>
    <row r="30" spans="2:18" x14ac:dyDescent="0.2">
      <c r="E30" t="s">
        <v>350</v>
      </c>
    </row>
    <row r="31" spans="2:18" x14ac:dyDescent="0.2">
      <c r="D31" s="2">
        <f>D29+200000</f>
        <v>953525.64885395556</v>
      </c>
    </row>
  </sheetData>
  <hyperlinks>
    <hyperlink ref="A1" location="Main!A1" display="Main" xr:uid="{136DCBE8-B5AB-47A8-8D7F-FB329166321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7376-F086-44CA-9B21-31B260C7B0CC}">
  <dimension ref="A1:C13"/>
  <sheetViews>
    <sheetView zoomScale="130" zoomScaleNormal="130" workbookViewId="0"/>
  </sheetViews>
  <sheetFormatPr defaultRowHeight="12.75" x14ac:dyDescent="0.2"/>
  <cols>
    <col min="1" max="1" width="5" bestFit="1" customWidth="1"/>
    <col min="2" max="2" width="1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97</v>
      </c>
    </row>
    <row r="3" spans="1:3" x14ac:dyDescent="0.2">
      <c r="B3" t="s">
        <v>36</v>
      </c>
      <c r="C3" t="s">
        <v>233</v>
      </c>
    </row>
    <row r="4" spans="1:3" x14ac:dyDescent="0.2">
      <c r="B4" t="s">
        <v>7</v>
      </c>
      <c r="C4" t="s">
        <v>224</v>
      </c>
    </row>
    <row r="5" spans="1:3" x14ac:dyDescent="0.2">
      <c r="B5" t="s">
        <v>10</v>
      </c>
    </row>
    <row r="6" spans="1:3" x14ac:dyDescent="0.2">
      <c r="B6" t="s">
        <v>211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232</v>
      </c>
    </row>
    <row r="12" spans="1:3" x14ac:dyDescent="0.2">
      <c r="C12" t="s">
        <v>231</v>
      </c>
    </row>
    <row r="13" spans="1:3" x14ac:dyDescent="0.2">
      <c r="C13" t="s">
        <v>234</v>
      </c>
    </row>
  </sheetData>
  <hyperlinks>
    <hyperlink ref="A1" location="Main!A1" display="Main" xr:uid="{8E2C417C-8312-4EDA-894E-5C8387569F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9CA0-1E65-4F76-BF8E-7B463599745A}">
  <dimension ref="A1:S38"/>
  <sheetViews>
    <sheetView zoomScale="130" zoomScaleNormal="130" workbookViewId="0">
      <selection activeCell="C14" sqref="C14"/>
    </sheetView>
  </sheetViews>
  <sheetFormatPr defaultRowHeight="12.75" x14ac:dyDescent="0.2"/>
  <cols>
    <col min="1" max="1" width="5" bestFit="1" customWidth="1"/>
    <col min="2" max="2" width="15" bestFit="1" customWidth="1"/>
    <col min="3" max="3" width="13.85546875" bestFit="1" customWidth="1"/>
    <col min="4" max="4" width="11.7109375" bestFit="1" customWidth="1"/>
  </cols>
  <sheetData>
    <row r="1" spans="1:3" x14ac:dyDescent="0.2">
      <c r="A1" s="4" t="s">
        <v>14</v>
      </c>
    </row>
    <row r="2" spans="1:3" x14ac:dyDescent="0.2">
      <c r="B2" t="s">
        <v>35</v>
      </c>
      <c r="C2" t="s">
        <v>216</v>
      </c>
    </row>
    <row r="3" spans="1:3" x14ac:dyDescent="0.2">
      <c r="B3" t="s">
        <v>36</v>
      </c>
      <c r="C3" t="s">
        <v>217</v>
      </c>
    </row>
    <row r="4" spans="1:3" x14ac:dyDescent="0.2">
      <c r="B4" t="s">
        <v>7</v>
      </c>
      <c r="C4" t="s">
        <v>218</v>
      </c>
    </row>
    <row r="5" spans="1:3" x14ac:dyDescent="0.2">
      <c r="B5" t="s">
        <v>10</v>
      </c>
      <c r="C5" t="s">
        <v>219</v>
      </c>
    </row>
    <row r="6" spans="1:3" x14ac:dyDescent="0.2">
      <c r="B6" t="s">
        <v>211</v>
      </c>
      <c r="C6" t="s">
        <v>220</v>
      </c>
    </row>
    <row r="7" spans="1:3" x14ac:dyDescent="0.2">
      <c r="B7" t="s">
        <v>210</v>
      </c>
    </row>
    <row r="8" spans="1:3" x14ac:dyDescent="0.2">
      <c r="B8" t="s">
        <v>212</v>
      </c>
    </row>
    <row r="9" spans="1:3" x14ac:dyDescent="0.2">
      <c r="B9" t="s">
        <v>11</v>
      </c>
    </row>
    <row r="10" spans="1:3" x14ac:dyDescent="0.2">
      <c r="B10" t="s">
        <v>209</v>
      </c>
    </row>
    <row r="11" spans="1:3" x14ac:dyDescent="0.2">
      <c r="C11" s="25" t="s">
        <v>250</v>
      </c>
    </row>
    <row r="12" spans="1:3" x14ac:dyDescent="0.2">
      <c r="C12" t="s">
        <v>251</v>
      </c>
    </row>
    <row r="13" spans="1:3" x14ac:dyDescent="0.2">
      <c r="C13" t="s">
        <v>347</v>
      </c>
    </row>
    <row r="16" spans="1:3" x14ac:dyDescent="0.2">
      <c r="C16" s="25" t="s">
        <v>249</v>
      </c>
    </row>
    <row r="17" spans="2:19" x14ac:dyDescent="0.2">
      <c r="C17" t="s">
        <v>252</v>
      </c>
    </row>
    <row r="18" spans="2:19" x14ac:dyDescent="0.2">
      <c r="C18" s="29">
        <v>45870</v>
      </c>
    </row>
    <row r="19" spans="2:19" x14ac:dyDescent="0.2">
      <c r="C19" s="29"/>
    </row>
    <row r="20" spans="2:19" x14ac:dyDescent="0.2">
      <c r="C20" s="25" t="s">
        <v>248</v>
      </c>
    </row>
    <row r="21" spans="2:19" x14ac:dyDescent="0.2">
      <c r="C21" t="s">
        <v>251</v>
      </c>
    </row>
    <row r="22" spans="2:19" x14ac:dyDescent="0.2">
      <c r="C22" s="29">
        <v>46478</v>
      </c>
    </row>
    <row r="23" spans="2:19" x14ac:dyDescent="0.2">
      <c r="C23" s="29"/>
    </row>
    <row r="24" spans="2:19" x14ac:dyDescent="0.2">
      <c r="C24" s="25" t="s">
        <v>247</v>
      </c>
    </row>
    <row r="25" spans="2:19" x14ac:dyDescent="0.2">
      <c r="C25" t="s">
        <v>253</v>
      </c>
    </row>
    <row r="26" spans="2:19" x14ac:dyDescent="0.2">
      <c r="C26" s="29">
        <v>46692</v>
      </c>
    </row>
    <row r="31" spans="2:19" x14ac:dyDescent="0.2">
      <c r="C31">
        <v>2025</v>
      </c>
      <c r="D31">
        <f>C31+1</f>
        <v>2026</v>
      </c>
      <c r="E31">
        <f t="shared" ref="E31:S31" si="0">D31+1</f>
        <v>2027</v>
      </c>
      <c r="F31">
        <f t="shared" si="0"/>
        <v>2028</v>
      </c>
      <c r="G31">
        <f t="shared" si="0"/>
        <v>2029</v>
      </c>
      <c r="H31">
        <f t="shared" si="0"/>
        <v>2030</v>
      </c>
      <c r="I31">
        <f t="shared" si="0"/>
        <v>2031</v>
      </c>
      <c r="J31">
        <f t="shared" si="0"/>
        <v>2032</v>
      </c>
      <c r="K31">
        <f t="shared" si="0"/>
        <v>2033</v>
      </c>
      <c r="L31">
        <f t="shared" si="0"/>
        <v>2034</v>
      </c>
      <c r="M31">
        <f t="shared" si="0"/>
        <v>2035</v>
      </c>
      <c r="N31">
        <f t="shared" si="0"/>
        <v>2036</v>
      </c>
      <c r="O31">
        <f t="shared" si="0"/>
        <v>2037</v>
      </c>
      <c r="P31">
        <f t="shared" si="0"/>
        <v>2038</v>
      </c>
      <c r="Q31">
        <f t="shared" si="0"/>
        <v>2039</v>
      </c>
      <c r="R31">
        <f t="shared" si="0"/>
        <v>2040</v>
      </c>
      <c r="S31">
        <f t="shared" si="0"/>
        <v>2041</v>
      </c>
    </row>
    <row r="32" spans="2:19" x14ac:dyDescent="0.2">
      <c r="B32" t="s">
        <v>213</v>
      </c>
      <c r="C32" s="2">
        <v>4150000</v>
      </c>
      <c r="D32" s="2">
        <f>C32*1.03</f>
        <v>4274500</v>
      </c>
      <c r="E32" s="2">
        <f t="shared" ref="E32:S32" si="1">D32*1.03</f>
        <v>4402735</v>
      </c>
      <c r="F32" s="2">
        <f t="shared" si="1"/>
        <v>4534817.05</v>
      </c>
      <c r="G32" s="2">
        <f t="shared" si="1"/>
        <v>4670861.5614999998</v>
      </c>
      <c r="H32" s="2">
        <f t="shared" si="1"/>
        <v>4810987.4083449999</v>
      </c>
      <c r="I32" s="2">
        <f t="shared" si="1"/>
        <v>4955317.0305953501</v>
      </c>
      <c r="J32" s="2">
        <f t="shared" si="1"/>
        <v>5103976.5415132111</v>
      </c>
      <c r="K32" s="2">
        <f t="shared" si="1"/>
        <v>5257095.8377586072</v>
      </c>
      <c r="L32" s="2">
        <f t="shared" si="1"/>
        <v>5414808.7128913654</v>
      </c>
      <c r="M32" s="2">
        <f t="shared" si="1"/>
        <v>5577252.9742781064</v>
      </c>
      <c r="N32" s="2">
        <f t="shared" si="1"/>
        <v>5744570.5635064496</v>
      </c>
      <c r="O32" s="2">
        <f t="shared" si="1"/>
        <v>5916907.6804116433</v>
      </c>
      <c r="P32" s="2">
        <f t="shared" si="1"/>
        <v>6094414.9108239925</v>
      </c>
      <c r="Q32" s="2">
        <f t="shared" si="1"/>
        <v>6277247.3581487127</v>
      </c>
      <c r="R32" s="2">
        <f t="shared" si="1"/>
        <v>6465564.7788931746</v>
      </c>
      <c r="S32" s="2">
        <f t="shared" si="1"/>
        <v>6659531.7222599704</v>
      </c>
    </row>
    <row r="33" spans="2:19" x14ac:dyDescent="0.2">
      <c r="B33" t="s">
        <v>214</v>
      </c>
      <c r="C33" s="2">
        <f>C32*0.2</f>
        <v>830000</v>
      </c>
      <c r="D33" s="2">
        <f t="shared" ref="D33:S33" si="2">D32*0.2</f>
        <v>854900</v>
      </c>
      <c r="E33" s="2">
        <f t="shared" si="2"/>
        <v>880547</v>
      </c>
      <c r="F33" s="2">
        <f t="shared" si="2"/>
        <v>906963.41</v>
      </c>
      <c r="G33" s="2">
        <f t="shared" si="2"/>
        <v>934172.31229999999</v>
      </c>
      <c r="H33" s="2">
        <f t="shared" si="2"/>
        <v>962197.481669</v>
      </c>
      <c r="I33" s="2">
        <f t="shared" si="2"/>
        <v>991063.40611907002</v>
      </c>
      <c r="J33" s="2">
        <f t="shared" si="2"/>
        <v>1020795.3083026423</v>
      </c>
      <c r="K33" s="2">
        <f t="shared" si="2"/>
        <v>1051419.1675517214</v>
      </c>
      <c r="L33" s="2">
        <f t="shared" si="2"/>
        <v>1082961.7425782732</v>
      </c>
      <c r="M33" s="2">
        <f t="shared" si="2"/>
        <v>1115450.5948556212</v>
      </c>
      <c r="N33" s="2">
        <f t="shared" si="2"/>
        <v>1148914.1127012901</v>
      </c>
      <c r="O33" s="2">
        <f t="shared" si="2"/>
        <v>1183381.5360823288</v>
      </c>
      <c r="P33" s="2">
        <f t="shared" si="2"/>
        <v>1218882.9821647985</v>
      </c>
      <c r="Q33" s="2">
        <f t="shared" si="2"/>
        <v>1255449.4716297425</v>
      </c>
      <c r="R33" s="2">
        <f t="shared" si="2"/>
        <v>1293112.9557786351</v>
      </c>
      <c r="S33" s="2">
        <f t="shared" si="2"/>
        <v>1331906.3444519942</v>
      </c>
    </row>
    <row r="34" spans="2:19" x14ac:dyDescent="0.2">
      <c r="B34" t="s">
        <v>0</v>
      </c>
      <c r="C34" s="2">
        <v>15000</v>
      </c>
      <c r="D34" s="2">
        <v>15000</v>
      </c>
      <c r="E34" s="2">
        <v>15000</v>
      </c>
      <c r="F34" s="2">
        <v>15000</v>
      </c>
      <c r="G34" s="2">
        <v>15000</v>
      </c>
      <c r="H34" s="2">
        <v>15000</v>
      </c>
      <c r="I34" s="2">
        <v>15000</v>
      </c>
      <c r="J34" s="2">
        <v>15000</v>
      </c>
      <c r="K34" s="2">
        <v>15000</v>
      </c>
      <c r="L34" s="2">
        <v>15000</v>
      </c>
      <c r="M34" s="2">
        <v>15000</v>
      </c>
      <c r="N34" s="2">
        <v>15000</v>
      </c>
      <c r="O34" s="2">
        <v>15000</v>
      </c>
      <c r="P34" s="2">
        <v>15000</v>
      </c>
      <c r="Q34" s="2">
        <v>15000</v>
      </c>
      <c r="R34" s="2">
        <v>15000</v>
      </c>
      <c r="S34" s="2">
        <v>15000</v>
      </c>
    </row>
    <row r="35" spans="2:19" x14ac:dyDescent="0.2">
      <c r="B35" t="s">
        <v>15</v>
      </c>
      <c r="C35" s="2">
        <f>C34*C33/1000000*0.8</f>
        <v>9960</v>
      </c>
      <c r="D35" s="2">
        <f t="shared" ref="D35:S35" si="3">D34*D33/1000000*0.8</f>
        <v>10258.800000000001</v>
      </c>
      <c r="E35" s="2">
        <f t="shared" si="3"/>
        <v>10566.564</v>
      </c>
      <c r="F35" s="2">
        <f t="shared" si="3"/>
        <v>10883.560920000002</v>
      </c>
      <c r="G35" s="2">
        <f t="shared" si="3"/>
        <v>11210.0677476</v>
      </c>
      <c r="H35" s="2">
        <f t="shared" si="3"/>
        <v>11546.369780028001</v>
      </c>
      <c r="I35" s="2">
        <f t="shared" si="3"/>
        <v>11892.760873428842</v>
      </c>
      <c r="J35" s="2">
        <f t="shared" si="3"/>
        <v>12249.543699631708</v>
      </c>
      <c r="K35" s="2">
        <f t="shared" si="3"/>
        <v>12617.030010620658</v>
      </c>
      <c r="L35" s="2">
        <f t="shared" si="3"/>
        <v>12995.540910939279</v>
      </c>
      <c r="M35" s="2">
        <f t="shared" si="3"/>
        <v>13385.407138267454</v>
      </c>
      <c r="N35" s="2">
        <f t="shared" si="3"/>
        <v>13786.969352415481</v>
      </c>
      <c r="O35" s="2">
        <f t="shared" si="3"/>
        <v>14200.578432987946</v>
      </c>
      <c r="P35" s="2">
        <f t="shared" si="3"/>
        <v>14626.595785977581</v>
      </c>
      <c r="Q35" s="2">
        <f t="shared" si="3"/>
        <v>15065.39365955691</v>
      </c>
      <c r="R35" s="2">
        <f t="shared" si="3"/>
        <v>15517.355469343624</v>
      </c>
      <c r="S35" s="2">
        <f t="shared" si="3"/>
        <v>15982.876133423932</v>
      </c>
    </row>
    <row r="37" spans="2:19" x14ac:dyDescent="0.2">
      <c r="C37" t="s">
        <v>121</v>
      </c>
      <c r="D37" s="10">
        <v>0.08</v>
      </c>
    </row>
    <row r="38" spans="2:19" x14ac:dyDescent="0.2">
      <c r="C38" t="s">
        <v>122</v>
      </c>
      <c r="D38" s="26">
        <f>NPV(D37,C35:S35)</f>
        <v>110214.69142256565</v>
      </c>
    </row>
  </sheetData>
  <hyperlinks>
    <hyperlink ref="A1" location="Main!A1" display="Main" xr:uid="{1A1CC4C2-166E-44CB-AADB-0BF1F52063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Main</vt:lpstr>
      <vt:lpstr>Model</vt:lpstr>
      <vt:lpstr>Literature</vt:lpstr>
      <vt:lpstr>IP</vt:lpstr>
      <vt:lpstr>Trials</vt:lpstr>
      <vt:lpstr>GLP-1s</vt:lpstr>
      <vt:lpstr>Mounjaro-Zepbound</vt:lpstr>
      <vt:lpstr>Trulicity</vt:lpstr>
      <vt:lpstr>Kisunla</vt:lpstr>
      <vt:lpstr>orforglipron</vt:lpstr>
      <vt:lpstr>retratrutide</vt:lpstr>
      <vt:lpstr>imlunestrant</vt:lpstr>
      <vt:lpstr>lebrikizumab</vt:lpstr>
      <vt:lpstr>lepodisiran</vt:lpstr>
      <vt:lpstr>mirikizumab</vt:lpstr>
      <vt:lpstr>olomorasib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2025-07-27T01:25:25Z</dcterms:created>
  <dcterms:modified xsi:type="dcterms:W3CDTF">2025-08-15T02:05:01Z</dcterms:modified>
</cp:coreProperties>
</file>