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7sher\OneDrive\Desktop\models\"/>
    </mc:Choice>
  </mc:AlternateContent>
  <xr:revisionPtr revIDLastSave="0" documentId="13_ncr:1_{C8C2D4B5-DE0B-4DC6-80E0-3794C173ED3C}" xr6:coauthVersionLast="47" xr6:coauthVersionMax="47" xr10:uidLastSave="{00000000-0000-0000-0000-000000000000}"/>
  <bookViews>
    <workbookView xWindow="4740" yWindow="330" windowWidth="21750" windowHeight="15015" activeTab="1" xr2:uid="{77BD1193-36D1-453A-8507-DD0E4F65FF43}"/>
  </bookViews>
  <sheets>
    <sheet name="Main" sheetId="1" r:id="rId1"/>
    <sheet name="Model" sheetId="2" r:id="rId2"/>
    <sheet name="Sheet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50" i="2" l="1"/>
  <c r="Q50" i="2"/>
  <c r="R50" i="2"/>
  <c r="S50" i="2" s="1"/>
  <c r="T50" i="2" s="1"/>
  <c r="O50" i="2"/>
  <c r="T47" i="2"/>
  <c r="R47" i="2"/>
  <c r="Q47" i="2"/>
  <c r="P47" i="2"/>
  <c r="P6" i="2"/>
  <c r="Q6" i="2" s="1"/>
  <c r="O6" i="2"/>
  <c r="S47" i="2" l="1"/>
  <c r="M97" i="2"/>
  <c r="L97" i="2"/>
  <c r="N96" i="2"/>
  <c r="N98" i="2" s="1"/>
  <c r="M96" i="2"/>
  <c r="M98" i="2" s="1"/>
  <c r="L96" i="2"/>
  <c r="L98" i="2" s="1"/>
  <c r="N89" i="2"/>
  <c r="M89" i="2"/>
  <c r="N88" i="2"/>
  <c r="M88" i="2"/>
  <c r="N87" i="2"/>
  <c r="M87" i="2"/>
  <c r="N86" i="2"/>
  <c r="M86" i="2"/>
  <c r="N85" i="2"/>
  <c r="M85" i="2"/>
  <c r="N84" i="2"/>
  <c r="M84" i="2"/>
  <c r="N83" i="2"/>
  <c r="M83" i="2"/>
  <c r="N82" i="2"/>
  <c r="M82" i="2"/>
  <c r="N81" i="2"/>
  <c r="M81" i="2"/>
  <c r="N73" i="2"/>
  <c r="M73" i="2"/>
  <c r="N78" i="2"/>
  <c r="M78" i="2"/>
  <c r="N77" i="2"/>
  <c r="M77" i="2"/>
  <c r="N76" i="2"/>
  <c r="M76" i="2"/>
  <c r="N75" i="2"/>
  <c r="M75" i="2"/>
  <c r="N74" i="2"/>
  <c r="M74" i="2"/>
  <c r="N72" i="2"/>
  <c r="M72" i="2"/>
  <c r="N71" i="2"/>
  <c r="M71" i="2"/>
  <c r="N70" i="2"/>
  <c r="M70" i="2"/>
  <c r="N67" i="2"/>
  <c r="M67" i="2"/>
  <c r="O62" i="2"/>
  <c r="P62" i="2" s="1"/>
  <c r="Q62" i="2" s="1"/>
  <c r="R62" i="2" s="1"/>
  <c r="S62" i="2" s="1"/>
  <c r="T62" i="2" s="1"/>
  <c r="M55" i="2"/>
  <c r="N55" i="2"/>
  <c r="L55" i="2"/>
  <c r="L44" i="2"/>
  <c r="L47" i="2" s="1"/>
  <c r="N47" i="2"/>
  <c r="N49" i="2" s="1"/>
  <c r="N66" i="2" s="1"/>
  <c r="M47" i="2"/>
  <c r="M49" i="2" s="1"/>
  <c r="M66" i="2" s="1"/>
  <c r="J47" i="2"/>
  <c r="I47" i="2"/>
  <c r="H47" i="2"/>
  <c r="C47" i="2"/>
  <c r="D47" i="2"/>
  <c r="E47" i="2"/>
  <c r="F47" i="2"/>
  <c r="G47" i="2"/>
  <c r="M2" i="2"/>
  <c r="N2" i="2" s="1"/>
  <c r="O2" i="2" s="1"/>
  <c r="P2" i="2" s="1"/>
  <c r="Q2" i="2" s="1"/>
  <c r="R2" i="2" s="1"/>
  <c r="S2" i="2" s="1"/>
  <c r="T2" i="2" s="1"/>
  <c r="K6" i="1"/>
  <c r="K5" i="1"/>
  <c r="K4" i="1"/>
  <c r="O67" i="2" l="1"/>
  <c r="O55" i="2"/>
  <c r="M100" i="2"/>
  <c r="K7" i="1"/>
  <c r="N100" i="2"/>
  <c r="L100" i="2"/>
  <c r="M69" i="2"/>
  <c r="N69" i="2"/>
  <c r="O57" i="2" s="1"/>
  <c r="M90" i="2"/>
  <c r="N90" i="2"/>
  <c r="M79" i="2"/>
  <c r="N79" i="2"/>
  <c r="N65" i="2"/>
  <c r="L49" i="2"/>
  <c r="L66" i="2" s="1"/>
  <c r="M65" i="2"/>
  <c r="P55" i="2"/>
  <c r="O48" i="2"/>
  <c r="O49" i="2" s="1"/>
  <c r="O65" i="2"/>
  <c r="M56" i="2"/>
  <c r="M58" i="2" s="1"/>
  <c r="M61" i="2" s="1"/>
  <c r="M63" i="2" s="1"/>
  <c r="N56" i="2"/>
  <c r="N58" i="2" s="1"/>
  <c r="N61" i="2" s="1"/>
  <c r="N63" i="2" s="1"/>
  <c r="O56" i="2" l="1"/>
  <c r="O58" i="2" s="1"/>
  <c r="O59" i="2" s="1"/>
  <c r="O98" i="2"/>
  <c r="M91" i="2"/>
  <c r="M92" i="2" s="1"/>
  <c r="M94" i="2"/>
  <c r="N91" i="2"/>
  <c r="N92" i="2" s="1"/>
  <c r="N94" i="2"/>
  <c r="O60" i="2"/>
  <c r="L56" i="2"/>
  <c r="L58" i="2" s="1"/>
  <c r="L61" i="2" s="1"/>
  <c r="L63" i="2" s="1"/>
  <c r="P65" i="2"/>
  <c r="Q55" i="2"/>
  <c r="P67" i="2"/>
  <c r="P98" i="2" l="1"/>
  <c r="P48" i="2"/>
  <c r="P49" i="2" s="1"/>
  <c r="P56" i="2" s="1"/>
  <c r="O61" i="2"/>
  <c r="R55" i="2"/>
  <c r="Q67" i="2"/>
  <c r="Q98" i="2" l="1"/>
  <c r="Q65" i="2"/>
  <c r="Q48" i="2"/>
  <c r="Q49" i="2" s="1"/>
  <c r="Q56" i="2" s="1"/>
  <c r="O63" i="2"/>
  <c r="O69" i="2"/>
  <c r="R67" i="2"/>
  <c r="S55" i="2"/>
  <c r="R98" i="2" l="1"/>
  <c r="R65" i="2"/>
  <c r="R48" i="2"/>
  <c r="R49" i="2" s="1"/>
  <c r="R56" i="2" s="1"/>
  <c r="P57" i="2"/>
  <c r="P58" i="2" s="1"/>
  <c r="P59" i="2" s="1"/>
  <c r="S67" i="2"/>
  <c r="T67" i="2" l="1"/>
  <c r="T55" i="2"/>
  <c r="S98" i="2"/>
  <c r="S48" i="2"/>
  <c r="S49" i="2" s="1"/>
  <c r="S56" i="2" s="1"/>
  <c r="S65" i="2"/>
  <c r="P60" i="2"/>
  <c r="P61" i="2" s="1"/>
  <c r="T98" i="2" l="1"/>
  <c r="U98" i="2" s="1"/>
  <c r="V98" i="2" s="1"/>
  <c r="W98" i="2" s="1"/>
  <c r="X98" i="2" s="1"/>
  <c r="Y98" i="2" s="1"/>
  <c r="Z98" i="2" s="1"/>
  <c r="AA98" i="2" s="1"/>
  <c r="AB98" i="2" s="1"/>
  <c r="AC98" i="2" s="1"/>
  <c r="AD98" i="2" s="1"/>
  <c r="AE98" i="2" s="1"/>
  <c r="AF98" i="2" s="1"/>
  <c r="AG98" i="2" s="1"/>
  <c r="AH98" i="2" s="1"/>
  <c r="AI98" i="2" s="1"/>
  <c r="AJ98" i="2" s="1"/>
  <c r="AK98" i="2" s="1"/>
  <c r="AL98" i="2" s="1"/>
  <c r="AM98" i="2" s="1"/>
  <c r="AN98" i="2" s="1"/>
  <c r="AO98" i="2" s="1"/>
  <c r="AP98" i="2" s="1"/>
  <c r="AQ98" i="2" s="1"/>
  <c r="AR98" i="2" s="1"/>
  <c r="AS98" i="2" s="1"/>
  <c r="AT98" i="2" s="1"/>
  <c r="AU98" i="2" s="1"/>
  <c r="AV98" i="2" s="1"/>
  <c r="AW98" i="2" s="1"/>
  <c r="AX98" i="2" s="1"/>
  <c r="AY98" i="2" s="1"/>
  <c r="AZ98" i="2" s="1"/>
  <c r="BA98" i="2" s="1"/>
  <c r="BB98" i="2" s="1"/>
  <c r="BC98" i="2" s="1"/>
  <c r="BD98" i="2" s="1"/>
  <c r="BE98" i="2" s="1"/>
  <c r="BF98" i="2" s="1"/>
  <c r="BG98" i="2" s="1"/>
  <c r="BH98" i="2" s="1"/>
  <c r="BI98" i="2" s="1"/>
  <c r="BJ98" i="2" s="1"/>
  <c r="BK98" i="2" s="1"/>
  <c r="BL98" i="2" s="1"/>
  <c r="BM98" i="2" s="1"/>
  <c r="BN98" i="2" s="1"/>
  <c r="BO98" i="2" s="1"/>
  <c r="BP98" i="2" s="1"/>
  <c r="BQ98" i="2" s="1"/>
  <c r="BR98" i="2" s="1"/>
  <c r="BS98" i="2" s="1"/>
  <c r="BT98" i="2" s="1"/>
  <c r="BU98" i="2" s="1"/>
  <c r="BV98" i="2" s="1"/>
  <c r="BW98" i="2" s="1"/>
  <c r="BX98" i="2" s="1"/>
  <c r="BY98" i="2" s="1"/>
  <c r="BZ98" i="2" s="1"/>
  <c r="CA98" i="2" s="1"/>
  <c r="CB98" i="2" s="1"/>
  <c r="CC98" i="2" s="1"/>
  <c r="CD98" i="2" s="1"/>
  <c r="CE98" i="2" s="1"/>
  <c r="CF98" i="2" s="1"/>
  <c r="CG98" i="2" s="1"/>
  <c r="CH98" i="2" s="1"/>
  <c r="CI98" i="2" s="1"/>
  <c r="CJ98" i="2" s="1"/>
  <c r="CK98" i="2" s="1"/>
  <c r="CL98" i="2" s="1"/>
  <c r="CM98" i="2" s="1"/>
  <c r="CN98" i="2" s="1"/>
  <c r="CO98" i="2" s="1"/>
  <c r="CP98" i="2" s="1"/>
  <c r="CQ98" i="2" s="1"/>
  <c r="CR98" i="2" s="1"/>
  <c r="CS98" i="2" s="1"/>
  <c r="CT98" i="2" s="1"/>
  <c r="CU98" i="2" s="1"/>
  <c r="CV98" i="2" s="1"/>
  <c r="CW98" i="2" s="1"/>
  <c r="CX98" i="2" s="1"/>
  <c r="CY98" i="2" s="1"/>
  <c r="CZ98" i="2" s="1"/>
  <c r="DA98" i="2" s="1"/>
  <c r="DB98" i="2" s="1"/>
  <c r="DC98" i="2" s="1"/>
  <c r="DD98" i="2" s="1"/>
  <c r="DE98" i="2" s="1"/>
  <c r="DF98" i="2" s="1"/>
  <c r="DG98" i="2" s="1"/>
  <c r="DH98" i="2" s="1"/>
  <c r="DI98" i="2" s="1"/>
  <c r="DJ98" i="2" s="1"/>
  <c r="DK98" i="2" s="1"/>
  <c r="DL98" i="2" s="1"/>
  <c r="DM98" i="2" s="1"/>
  <c r="DN98" i="2" s="1"/>
  <c r="DO98" i="2" s="1"/>
  <c r="DP98" i="2" s="1"/>
  <c r="DQ98" i="2" s="1"/>
  <c r="DR98" i="2" s="1"/>
  <c r="W104" i="2" s="1"/>
  <c r="W105" i="2" s="1"/>
  <c r="W106" i="2" s="1"/>
  <c r="T48" i="2"/>
  <c r="T49" i="2" s="1"/>
  <c r="T56" i="2" s="1"/>
  <c r="T65" i="2"/>
  <c r="P63" i="2"/>
  <c r="P69" i="2"/>
  <c r="Q57" i="2" s="1"/>
  <c r="Q58" i="2" s="1"/>
  <c r="Q59" i="2" s="1"/>
  <c r="Q60" i="2" l="1"/>
  <c r="Q61" i="2" s="1"/>
  <c r="Q63" i="2" l="1"/>
  <c r="Q69" i="2"/>
  <c r="R57" i="2" s="1"/>
  <c r="R58" i="2" s="1"/>
  <c r="R59" i="2" s="1"/>
  <c r="R60" i="2" l="1"/>
  <c r="R61" i="2" s="1"/>
  <c r="R63" i="2" l="1"/>
  <c r="R69" i="2"/>
  <c r="S57" i="2" s="1"/>
  <c r="S58" i="2" s="1"/>
  <c r="S59" i="2" s="1"/>
  <c r="S60" i="2" l="1"/>
  <c r="S61" i="2" l="1"/>
  <c r="S63" i="2" s="1"/>
  <c r="S69" i="2" l="1"/>
  <c r="T57" i="2"/>
  <c r="T58" i="2" s="1"/>
  <c r="T59" i="2" s="1"/>
  <c r="T60" i="2" l="1"/>
  <c r="T61" i="2"/>
  <c r="T63" i="2" l="1"/>
  <c r="U61" i="2"/>
  <c r="V61" i="2" s="1"/>
  <c r="W61" i="2" s="1"/>
  <c r="X61" i="2" s="1"/>
  <c r="Y61" i="2" s="1"/>
  <c r="Z61" i="2" s="1"/>
  <c r="AA61" i="2" s="1"/>
  <c r="AB61" i="2" s="1"/>
  <c r="AC61" i="2" s="1"/>
  <c r="AD61" i="2" s="1"/>
  <c r="AE61" i="2" s="1"/>
  <c r="AF61" i="2" s="1"/>
  <c r="AG61" i="2" s="1"/>
  <c r="AH61" i="2" s="1"/>
  <c r="AI61" i="2" s="1"/>
  <c r="AJ61" i="2" s="1"/>
  <c r="AK61" i="2" s="1"/>
  <c r="AL61" i="2" s="1"/>
  <c r="AM61" i="2" s="1"/>
  <c r="AN61" i="2" s="1"/>
  <c r="AO61" i="2" s="1"/>
  <c r="AP61" i="2" s="1"/>
  <c r="AQ61" i="2" s="1"/>
  <c r="AR61" i="2" s="1"/>
  <c r="AS61" i="2" s="1"/>
  <c r="AT61" i="2" s="1"/>
  <c r="T69" i="2"/>
  <c r="AU61" i="2" l="1"/>
  <c r="AV61" i="2" s="1"/>
  <c r="AW61" i="2" s="1"/>
  <c r="AX61" i="2" s="1"/>
  <c r="AY61" i="2" s="1"/>
  <c r="AZ61" i="2" s="1"/>
  <c r="BA61" i="2" s="1"/>
  <c r="BB61" i="2" s="1"/>
  <c r="BC61" i="2" s="1"/>
  <c r="BD61" i="2" s="1"/>
  <c r="BE61" i="2" s="1"/>
  <c r="BF61" i="2" s="1"/>
  <c r="BG61" i="2" s="1"/>
  <c r="BH61" i="2" s="1"/>
  <c r="BI61" i="2" s="1"/>
  <c r="BJ61" i="2" s="1"/>
  <c r="BK61" i="2" s="1"/>
  <c r="BL61" i="2" s="1"/>
  <c r="BM61" i="2" s="1"/>
  <c r="BN61" i="2" s="1"/>
  <c r="BO61" i="2" s="1"/>
  <c r="BP61" i="2" s="1"/>
  <c r="BQ61" i="2" s="1"/>
  <c r="BR61" i="2" s="1"/>
  <c r="BS61" i="2" s="1"/>
  <c r="BT61" i="2" s="1"/>
  <c r="BU61" i="2" s="1"/>
  <c r="BV61" i="2" s="1"/>
  <c r="BW61" i="2" s="1"/>
  <c r="BX61" i="2" s="1"/>
  <c r="BY61" i="2" s="1"/>
  <c r="BZ61" i="2" s="1"/>
  <c r="CA61" i="2" s="1"/>
  <c r="CB61" i="2" s="1"/>
  <c r="CC61" i="2" s="1"/>
  <c r="CD61" i="2" s="1"/>
  <c r="CE61" i="2" s="1"/>
  <c r="CF61" i="2" s="1"/>
  <c r="CG61" i="2" s="1"/>
  <c r="CH61" i="2" s="1"/>
  <c r="CI61" i="2" s="1"/>
  <c r="CJ61" i="2" s="1"/>
  <c r="CK61" i="2" s="1"/>
  <c r="CL61" i="2" s="1"/>
  <c r="CM61" i="2" s="1"/>
  <c r="CN61" i="2" s="1"/>
  <c r="CO61" i="2" s="1"/>
  <c r="CP61" i="2" s="1"/>
  <c r="CQ61" i="2" s="1"/>
  <c r="CR61" i="2" s="1"/>
  <c r="CS61" i="2" s="1"/>
  <c r="CT61" i="2" s="1"/>
  <c r="CU61" i="2" s="1"/>
  <c r="CV61" i="2" s="1"/>
  <c r="CW61" i="2" s="1"/>
  <c r="CX61" i="2" s="1"/>
  <c r="CY61" i="2" s="1"/>
  <c r="CZ61" i="2" s="1"/>
  <c r="DA61" i="2" s="1"/>
  <c r="DB61" i="2" s="1"/>
  <c r="DC61" i="2" s="1"/>
  <c r="DD61" i="2" s="1"/>
  <c r="DE61" i="2" s="1"/>
  <c r="DF61" i="2" s="1"/>
  <c r="DG61" i="2" s="1"/>
  <c r="DH61" i="2" s="1"/>
  <c r="DI61" i="2" s="1"/>
  <c r="DJ61" i="2" s="1"/>
  <c r="DK61" i="2" s="1"/>
  <c r="DL61" i="2" s="1"/>
  <c r="DM61" i="2" s="1"/>
  <c r="DN61" i="2" s="1"/>
  <c r="DO61" i="2" s="1"/>
  <c r="DP61" i="2" s="1"/>
  <c r="DQ61" i="2" s="1"/>
  <c r="DR61" i="2" s="1"/>
  <c r="W66" i="2" l="1"/>
  <c r="W67" i="2" s="1"/>
  <c r="W68" i="2" s="1"/>
</calcChain>
</file>

<file path=xl/sharedStrings.xml><?xml version="1.0" encoding="utf-8"?>
<sst xmlns="http://schemas.openxmlformats.org/spreadsheetml/2006/main" count="127" uniqueCount="114">
  <si>
    <t>Price</t>
  </si>
  <si>
    <t>Shares</t>
  </si>
  <si>
    <t>MC</t>
  </si>
  <si>
    <t>Cash</t>
  </si>
  <si>
    <t>Debt</t>
  </si>
  <si>
    <t>EV</t>
  </si>
  <si>
    <t>Q125</t>
  </si>
  <si>
    <t>Main</t>
  </si>
  <si>
    <t>Revenue</t>
  </si>
  <si>
    <t>Q124</t>
  </si>
  <si>
    <t>Q224</t>
  </si>
  <si>
    <t>Q324</t>
  </si>
  <si>
    <t>Q424</t>
  </si>
  <si>
    <t>Q225</t>
  </si>
  <si>
    <t>Q325</t>
  </si>
  <si>
    <t>Q425</t>
  </si>
  <si>
    <t>Product</t>
  </si>
  <si>
    <t>Alliance</t>
  </si>
  <si>
    <t>Royalty</t>
  </si>
  <si>
    <t>COGS</t>
  </si>
  <si>
    <t>Gross Profit</t>
  </si>
  <si>
    <t>R&amp;D</t>
  </si>
  <si>
    <t>Amort</t>
  </si>
  <si>
    <t>Restructuring &amp; Acquisition</t>
  </si>
  <si>
    <t>Other</t>
  </si>
  <si>
    <t>Operating Expenses</t>
  </si>
  <si>
    <t>Operating Income</t>
  </si>
  <si>
    <t>Interest Income</t>
  </si>
  <si>
    <t>Pretax income</t>
  </si>
  <si>
    <t>Noncontrolling Interests</t>
  </si>
  <si>
    <t>Tax</t>
  </si>
  <si>
    <t>Net Income</t>
  </si>
  <si>
    <t>EPS</t>
  </si>
  <si>
    <t>Revenue y/y</t>
  </si>
  <si>
    <t>Gross Margin</t>
  </si>
  <si>
    <t>SG&amp;A y/y</t>
  </si>
  <si>
    <t>SG&amp;A</t>
  </si>
  <si>
    <t>Net Cash</t>
  </si>
  <si>
    <t>AP</t>
  </si>
  <si>
    <t>AR</t>
  </si>
  <si>
    <t>ROIC</t>
  </si>
  <si>
    <t>Discount</t>
  </si>
  <si>
    <t>NPV</t>
  </si>
  <si>
    <t>Maturity</t>
  </si>
  <si>
    <t>Share</t>
  </si>
  <si>
    <t>Tax Assets</t>
  </si>
  <si>
    <t>Investments</t>
  </si>
  <si>
    <t>PP&amp;E</t>
  </si>
  <si>
    <t>Intangible Assets</t>
  </si>
  <si>
    <t>GW</t>
  </si>
  <si>
    <t>Tax Payable</t>
  </si>
  <si>
    <t>Accrued Compensation</t>
  </si>
  <si>
    <t>Deferred Revenue</t>
  </si>
  <si>
    <t>Other Current</t>
  </si>
  <si>
    <t>Pension Obligations</t>
  </si>
  <si>
    <t>DT</t>
  </si>
  <si>
    <t>Other LT Liabilities</t>
  </si>
  <si>
    <t>Liablities</t>
  </si>
  <si>
    <t>Assets</t>
  </si>
  <si>
    <t>SE</t>
  </si>
  <si>
    <t>L+SE</t>
  </si>
  <si>
    <t>CFFO</t>
  </si>
  <si>
    <t>CX</t>
  </si>
  <si>
    <t>FCF</t>
  </si>
  <si>
    <t>Inventories</t>
  </si>
  <si>
    <t>TANGIBLE BOOK VALUE</t>
  </si>
  <si>
    <t>FCF Margin</t>
  </si>
  <si>
    <t>Eliquis</t>
  </si>
  <si>
    <t>Prevnar</t>
  </si>
  <si>
    <t>Paxlovid</t>
  </si>
  <si>
    <t>Comimaty</t>
  </si>
  <si>
    <t>Name</t>
  </si>
  <si>
    <t>Indication</t>
  </si>
  <si>
    <t>Economics</t>
  </si>
  <si>
    <t>MOA</t>
  </si>
  <si>
    <t>IP</t>
  </si>
  <si>
    <t>Approved</t>
  </si>
  <si>
    <t>Phase</t>
  </si>
  <si>
    <t>Nurtec ODT/Vydura</t>
  </si>
  <si>
    <t>Abrysvo</t>
  </si>
  <si>
    <t>Premarin</t>
  </si>
  <si>
    <t>BMP2</t>
  </si>
  <si>
    <t>FSME-IMMUN/TicoVac</t>
  </si>
  <si>
    <t>Other Primary Care</t>
  </si>
  <si>
    <t>Vyndaqel</t>
  </si>
  <si>
    <t>Xelijanz</t>
  </si>
  <si>
    <t>Enbrel</t>
  </si>
  <si>
    <t>Sulperazon</t>
  </si>
  <si>
    <t>Zavicefta</t>
  </si>
  <si>
    <t>Octagam</t>
  </si>
  <si>
    <t>Inflectra</t>
  </si>
  <si>
    <t>Zithromax</t>
  </si>
  <si>
    <t>Genotropin</t>
  </si>
  <si>
    <t>BeneFIX</t>
  </si>
  <si>
    <t>Cibinqo</t>
  </si>
  <si>
    <t>Oxbryta</t>
  </si>
  <si>
    <t>Other Hospital</t>
  </si>
  <si>
    <t>Other Specialty Care</t>
  </si>
  <si>
    <t>Ibrance</t>
  </si>
  <si>
    <t>Xtandi</t>
  </si>
  <si>
    <t>Padcev</t>
  </si>
  <si>
    <t>Adcetris</t>
  </si>
  <si>
    <t>Oncology biosimilars</t>
  </si>
  <si>
    <t>Inlyta</t>
  </si>
  <si>
    <t>Lorbrena</t>
  </si>
  <si>
    <t>Bosulif</t>
  </si>
  <si>
    <t>Braftovi/Mektovi</t>
  </si>
  <si>
    <t>Tukysa</t>
  </si>
  <si>
    <t>Elrexfio</t>
  </si>
  <si>
    <t>Tivdak</t>
  </si>
  <si>
    <t>Talzenna</t>
  </si>
  <si>
    <t>Other Oncology</t>
  </si>
  <si>
    <t>USA</t>
  </si>
  <si>
    <t>International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</si>
</sst>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4" fontId="0" fillId="0" borderId="0" xfId="0" applyNumberFormat="1"/>
    <xf numFmtId="3" fontId="0" fillId="0" borderId="0" xfId="0" applyNumberFormat="1"/>
    <xf numFmtId="3" fontId="1" fillId="0" borderId="0" xfId="0" applyNumberFormat="1" applyFont="1"/>
    <xf numFmtId="1" fontId="0" fillId="0" borderId="0" xfId="0" applyNumberFormat="1"/>
    <xf numFmtId="9" fontId="0" fillId="0" borderId="0" xfId="0" applyNumberFormat="1"/>
    <xf numFmtId="9" fontId="1" fillId="0" borderId="0" xfId="0" applyNumberFormat="1" applyFont="1"/>
    <xf numFmtId="10" fontId="0" fillId="0" borderId="0" xfId="0" applyNumberFormat="1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7327</xdr:colOff>
      <xdr:row>0</xdr:row>
      <xdr:rowOff>0</xdr:rowOff>
    </xdr:from>
    <xdr:to>
      <xdr:col>14</xdr:col>
      <xdr:colOff>7327</xdr:colOff>
      <xdr:row>97</xdr:row>
      <xdr:rowOff>65942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F3574523-7576-6D15-EB39-6129B720BFDF}"/>
            </a:ext>
          </a:extLst>
        </xdr:cNvPr>
        <xdr:cNvCxnSpPr/>
      </xdr:nvCxnSpPr>
      <xdr:spPr>
        <a:xfrm>
          <a:off x="8228135" y="0"/>
          <a:ext cx="0" cy="74807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7328</xdr:colOff>
      <xdr:row>0</xdr:row>
      <xdr:rowOff>0</xdr:rowOff>
    </xdr:from>
    <xdr:to>
      <xdr:col>7</xdr:col>
      <xdr:colOff>7328</xdr:colOff>
      <xdr:row>97</xdr:row>
      <xdr:rowOff>65942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9D5BE101-64EC-4CE8-B018-48AB01C90F21}"/>
            </a:ext>
          </a:extLst>
        </xdr:cNvPr>
        <xdr:cNvCxnSpPr/>
      </xdr:nvCxnSpPr>
      <xdr:spPr>
        <a:xfrm>
          <a:off x="3971193" y="0"/>
          <a:ext cx="0" cy="74807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C6281E-3EA0-4EB2-93F8-A592381D8337}">
  <dimension ref="B2:L22"/>
  <sheetViews>
    <sheetView zoomScale="115" zoomScaleNormal="115" workbookViewId="0">
      <selection activeCell="D22" sqref="D22"/>
    </sheetView>
  </sheetViews>
  <sheetFormatPr defaultRowHeight="12.75" x14ac:dyDescent="0.2"/>
  <cols>
    <col min="1" max="1" width="2.42578125" customWidth="1"/>
    <col min="2" max="2" width="16.28515625" customWidth="1"/>
    <col min="3" max="3" width="15.28515625" customWidth="1"/>
    <col min="4" max="4" width="10" customWidth="1"/>
    <col min="5" max="5" width="10.42578125" customWidth="1"/>
    <col min="6" max="6" width="14" customWidth="1"/>
    <col min="7" max="7" width="9.140625" customWidth="1"/>
    <col min="8" max="8" width="4.42578125" customWidth="1"/>
    <col min="9" max="9" width="4.28515625" customWidth="1"/>
    <col min="10" max="10" width="9.140625" customWidth="1"/>
  </cols>
  <sheetData>
    <row r="2" spans="2:12" x14ac:dyDescent="0.2">
      <c r="J2" t="s">
        <v>0</v>
      </c>
      <c r="K2" s="1">
        <v>23.35</v>
      </c>
    </row>
    <row r="3" spans="2:12" x14ac:dyDescent="0.2">
      <c r="B3" s="14" t="s">
        <v>71</v>
      </c>
      <c r="C3" s="15" t="s">
        <v>72</v>
      </c>
      <c r="D3" s="15" t="s">
        <v>76</v>
      </c>
      <c r="E3" s="15" t="s">
        <v>73</v>
      </c>
      <c r="F3" s="15" t="s">
        <v>74</v>
      </c>
      <c r="G3" s="16" t="s">
        <v>75</v>
      </c>
      <c r="J3" t="s">
        <v>1</v>
      </c>
      <c r="K3" s="2">
        <v>5685.3656000000001</v>
      </c>
      <c r="L3" t="s">
        <v>6</v>
      </c>
    </row>
    <row r="4" spans="2:12" x14ac:dyDescent="0.2">
      <c r="B4" s="9" t="s">
        <v>67</v>
      </c>
      <c r="C4" s="8"/>
      <c r="D4" s="8"/>
      <c r="E4" s="8"/>
      <c r="F4" s="8"/>
      <c r="G4" s="10"/>
      <c r="J4" t="s">
        <v>2</v>
      </c>
      <c r="K4" s="2">
        <f>K3*K2</f>
        <v>132753.28676000002</v>
      </c>
    </row>
    <row r="5" spans="2:12" x14ac:dyDescent="0.2">
      <c r="B5" s="9"/>
      <c r="C5" s="8"/>
      <c r="D5" s="8"/>
      <c r="E5" s="8"/>
      <c r="F5" s="8"/>
      <c r="G5" s="10"/>
      <c r="J5" t="s">
        <v>3</v>
      </c>
      <c r="K5" s="2">
        <f>1430+15887</f>
        <v>17317</v>
      </c>
      <c r="L5" t="s">
        <v>6</v>
      </c>
    </row>
    <row r="6" spans="2:12" x14ac:dyDescent="0.2">
      <c r="B6" s="9"/>
      <c r="C6" s="8"/>
      <c r="D6" s="8"/>
      <c r="E6" s="8"/>
      <c r="F6" s="8"/>
      <c r="G6" s="10"/>
      <c r="J6" t="s">
        <v>4</v>
      </c>
      <c r="K6" s="2">
        <f>57639+2021+2258+5724</f>
        <v>67642</v>
      </c>
      <c r="L6" t="s">
        <v>6</v>
      </c>
    </row>
    <row r="7" spans="2:12" x14ac:dyDescent="0.2">
      <c r="B7" s="9"/>
      <c r="C7" s="8"/>
      <c r="D7" s="8"/>
      <c r="E7" s="8"/>
      <c r="F7" s="8"/>
      <c r="G7" s="10"/>
      <c r="J7" t="s">
        <v>5</v>
      </c>
      <c r="K7" s="2">
        <f>K4+K6-K5</f>
        <v>183078.28676000002</v>
      </c>
    </row>
    <row r="8" spans="2:12" x14ac:dyDescent="0.2">
      <c r="B8" s="9"/>
      <c r="C8" s="8"/>
      <c r="D8" s="8"/>
      <c r="E8" s="8"/>
      <c r="F8" s="8"/>
      <c r="G8" s="10"/>
    </row>
    <row r="9" spans="2:12" x14ac:dyDescent="0.2">
      <c r="B9" s="9"/>
      <c r="C9" s="8"/>
      <c r="D9" s="8"/>
      <c r="E9" s="8"/>
      <c r="F9" s="8"/>
      <c r="G9" s="10"/>
    </row>
    <row r="10" spans="2:12" x14ac:dyDescent="0.2">
      <c r="B10" s="9"/>
      <c r="C10" s="8"/>
      <c r="D10" s="8"/>
      <c r="E10" s="8"/>
      <c r="F10" s="8"/>
      <c r="G10" s="10"/>
    </row>
    <row r="11" spans="2:12" x14ac:dyDescent="0.2">
      <c r="B11" s="9"/>
      <c r="C11" s="8"/>
      <c r="D11" s="8"/>
      <c r="E11" s="8"/>
      <c r="F11" s="8"/>
      <c r="G11" s="10"/>
    </row>
    <row r="12" spans="2:12" x14ac:dyDescent="0.2">
      <c r="B12" s="17"/>
      <c r="C12" s="18"/>
      <c r="D12" s="15" t="s">
        <v>77</v>
      </c>
      <c r="E12" s="18"/>
      <c r="F12" s="18"/>
      <c r="G12" s="19"/>
    </row>
    <row r="13" spans="2:12" x14ac:dyDescent="0.2">
      <c r="B13" s="9"/>
      <c r="C13" s="8"/>
      <c r="D13" s="8"/>
      <c r="E13" s="8"/>
      <c r="F13" s="8"/>
      <c r="G13" s="10"/>
    </row>
    <row r="14" spans="2:12" x14ac:dyDescent="0.2">
      <c r="B14" s="9"/>
      <c r="C14" s="8"/>
      <c r="D14" s="8"/>
      <c r="E14" s="8"/>
      <c r="F14" s="8"/>
      <c r="G14" s="10"/>
    </row>
    <row r="15" spans="2:12" x14ac:dyDescent="0.2">
      <c r="B15" s="9"/>
      <c r="C15" s="8"/>
      <c r="D15" s="8"/>
      <c r="E15" s="8"/>
      <c r="F15" s="8"/>
      <c r="G15" s="10"/>
    </row>
    <row r="16" spans="2:12" x14ac:dyDescent="0.2">
      <c r="B16" s="9"/>
      <c r="C16" s="8"/>
      <c r="D16" s="8"/>
      <c r="E16" s="8"/>
      <c r="F16" s="8"/>
      <c r="G16" s="10"/>
    </row>
    <row r="17" spans="2:7" x14ac:dyDescent="0.2">
      <c r="B17" s="9"/>
      <c r="C17" s="8"/>
      <c r="D17" s="8"/>
      <c r="E17" s="8"/>
      <c r="F17" s="8"/>
      <c r="G17" s="10"/>
    </row>
    <row r="18" spans="2:7" x14ac:dyDescent="0.2">
      <c r="B18" s="9"/>
      <c r="C18" s="8"/>
      <c r="D18" s="8"/>
      <c r="E18" s="8"/>
      <c r="F18" s="8"/>
      <c r="G18" s="10"/>
    </row>
    <row r="19" spans="2:7" x14ac:dyDescent="0.2">
      <c r="B19" s="11"/>
      <c r="C19" s="12"/>
      <c r="D19" s="12"/>
      <c r="E19" s="12"/>
      <c r="F19" s="12"/>
      <c r="G19" s="13"/>
    </row>
    <row r="20" spans="2:7" x14ac:dyDescent="0.2">
      <c r="B20" s="8"/>
      <c r="C20" s="8"/>
      <c r="D20" s="8"/>
      <c r="E20" s="8"/>
      <c r="F20" s="8"/>
      <c r="G20" s="8"/>
    </row>
    <row r="21" spans="2:7" x14ac:dyDescent="0.2">
      <c r="B21" s="8"/>
      <c r="C21" s="8"/>
      <c r="D21" s="8"/>
      <c r="E21" s="8"/>
      <c r="F21" s="8"/>
      <c r="G21" s="8"/>
    </row>
    <row r="22" spans="2:7" x14ac:dyDescent="0.2">
      <c r="B22" s="8"/>
      <c r="C22" s="8"/>
      <c r="D22" s="8"/>
      <c r="E22" s="8"/>
      <c r="F22" s="8"/>
      <c r="G22" s="8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B5DDB-CE15-46B7-BCA6-1FB6A18E83E7}">
  <dimension ref="A1:DR106"/>
  <sheetViews>
    <sheetView tabSelected="1" zoomScale="130" zoomScaleNormal="130" workbookViewId="0">
      <pane xSplit="2" ySplit="2" topLeftCell="K42" activePane="bottomRight" state="frozen"/>
      <selection pane="topRight" activeCell="C1" sqref="C1"/>
      <selection pane="bottomLeft" activeCell="A3" sqref="A3"/>
      <selection pane="bottomRight" activeCell="U70" sqref="U70"/>
    </sheetView>
  </sheetViews>
  <sheetFormatPr defaultRowHeight="12.75" x14ac:dyDescent="0.2"/>
  <cols>
    <col min="1" max="1" width="4.7109375" style="2" customWidth="1"/>
    <col min="2" max="2" width="23" style="2" customWidth="1"/>
    <col min="3" max="16384" width="9.140625" style="2"/>
  </cols>
  <sheetData>
    <row r="1" spans="1:20" x14ac:dyDescent="0.2">
      <c r="A1" s="2" t="s">
        <v>7</v>
      </c>
    </row>
    <row r="2" spans="1:20" x14ac:dyDescent="0.2">
      <c r="C2" s="2" t="s">
        <v>9</v>
      </c>
      <c r="D2" s="2" t="s">
        <v>10</v>
      </c>
      <c r="E2" s="2" t="s">
        <v>11</v>
      </c>
      <c r="F2" s="2" t="s">
        <v>12</v>
      </c>
      <c r="G2" s="2" t="s">
        <v>6</v>
      </c>
      <c r="H2" s="2" t="s">
        <v>13</v>
      </c>
      <c r="I2" s="2" t="s">
        <v>14</v>
      </c>
      <c r="J2" s="2" t="s">
        <v>15</v>
      </c>
      <c r="L2" s="4">
        <v>2022</v>
      </c>
      <c r="M2" s="4">
        <f>L2+1</f>
        <v>2023</v>
      </c>
      <c r="N2" s="4">
        <f t="shared" ref="N2:T2" si="0">M2+1</f>
        <v>2024</v>
      </c>
      <c r="O2" s="4">
        <f t="shared" si="0"/>
        <v>2025</v>
      </c>
      <c r="P2" s="4">
        <f t="shared" si="0"/>
        <v>2026</v>
      </c>
      <c r="Q2" s="4">
        <f t="shared" si="0"/>
        <v>2027</v>
      </c>
      <c r="R2" s="4">
        <f t="shared" si="0"/>
        <v>2028</v>
      </c>
      <c r="S2" s="4">
        <f t="shared" si="0"/>
        <v>2029</v>
      </c>
      <c r="T2" s="4">
        <f t="shared" si="0"/>
        <v>2030</v>
      </c>
    </row>
    <row r="3" spans="1:20" x14ac:dyDescent="0.2">
      <c r="B3" s="2" t="s">
        <v>112</v>
      </c>
      <c r="L3" s="4"/>
      <c r="M3" s="4"/>
      <c r="N3" s="4"/>
      <c r="O3" s="4"/>
      <c r="P3" s="4"/>
      <c r="Q3" s="4"/>
      <c r="R3" s="4"/>
      <c r="S3" s="4"/>
      <c r="T3" s="4"/>
    </row>
    <row r="4" spans="1:20" x14ac:dyDescent="0.2">
      <c r="B4" s="2" t="s">
        <v>113</v>
      </c>
      <c r="L4" s="4"/>
      <c r="M4" s="4"/>
      <c r="N4" s="4"/>
      <c r="O4" s="4"/>
      <c r="P4" s="4"/>
      <c r="Q4" s="4"/>
      <c r="R4" s="4"/>
      <c r="S4" s="4"/>
      <c r="T4" s="4"/>
    </row>
    <row r="5" spans="1:20" x14ac:dyDescent="0.2">
      <c r="L5" s="4"/>
      <c r="M5" s="4"/>
      <c r="N5" s="4"/>
      <c r="O5" s="4"/>
      <c r="P5" s="4"/>
      <c r="Q5" s="4"/>
      <c r="R5" s="4"/>
      <c r="S5" s="4"/>
      <c r="T5" s="4"/>
    </row>
    <row r="6" spans="1:20" x14ac:dyDescent="0.2">
      <c r="B6" s="2" t="s">
        <v>67</v>
      </c>
      <c r="L6" s="2">
        <v>6480</v>
      </c>
      <c r="M6" s="2">
        <v>6747</v>
      </c>
      <c r="N6" s="2">
        <v>7366</v>
      </c>
      <c r="O6" s="2">
        <f>N6*1.06</f>
        <v>7807.96</v>
      </c>
      <c r="P6" s="2">
        <f>O6*1.06</f>
        <v>8276.4376000000011</v>
      </c>
      <c r="Q6" s="2">
        <f>P6*1.06</f>
        <v>8773.0238560000016</v>
      </c>
      <c r="R6" s="2">
        <v>0</v>
      </c>
    </row>
    <row r="7" spans="1:20" x14ac:dyDescent="0.2">
      <c r="B7" s="2" t="s">
        <v>68</v>
      </c>
      <c r="L7" s="2">
        <v>6342</v>
      </c>
      <c r="M7" s="2">
        <v>6501</v>
      </c>
      <c r="N7" s="2">
        <v>6411</v>
      </c>
    </row>
    <row r="8" spans="1:20" x14ac:dyDescent="0.2">
      <c r="B8" s="2" t="s">
        <v>69</v>
      </c>
      <c r="L8" s="2">
        <v>18933</v>
      </c>
      <c r="M8" s="2">
        <v>1279</v>
      </c>
      <c r="N8" s="2">
        <v>5716</v>
      </c>
    </row>
    <row r="9" spans="1:20" x14ac:dyDescent="0.2">
      <c r="B9" s="2" t="s">
        <v>70</v>
      </c>
      <c r="L9" s="2">
        <v>37809</v>
      </c>
      <c r="M9" s="2">
        <v>11220</v>
      </c>
      <c r="N9" s="2">
        <v>5353</v>
      </c>
    </row>
    <row r="10" spans="1:20" x14ac:dyDescent="0.2">
      <c r="B10" s="2" t="s">
        <v>78</v>
      </c>
      <c r="L10" s="2">
        <v>213</v>
      </c>
      <c r="M10" s="2">
        <v>928</v>
      </c>
      <c r="N10" s="2">
        <v>1263</v>
      </c>
    </row>
    <row r="11" spans="1:20" x14ac:dyDescent="0.2">
      <c r="B11" s="2" t="s">
        <v>79</v>
      </c>
      <c r="M11" s="2">
        <v>890</v>
      </c>
      <c r="N11" s="2">
        <v>755</v>
      </c>
    </row>
    <row r="12" spans="1:20" x14ac:dyDescent="0.2">
      <c r="B12" s="2" t="s">
        <v>80</v>
      </c>
      <c r="L12" s="2">
        <v>455</v>
      </c>
      <c r="M12" s="2">
        <v>397</v>
      </c>
      <c r="N12" s="2">
        <v>380</v>
      </c>
    </row>
    <row r="13" spans="1:20" x14ac:dyDescent="0.2">
      <c r="B13" s="2" t="s">
        <v>81</v>
      </c>
      <c r="L13" s="2">
        <v>277</v>
      </c>
      <c r="M13" s="2">
        <v>338</v>
      </c>
      <c r="N13" s="2">
        <v>352</v>
      </c>
    </row>
    <row r="14" spans="1:20" x14ac:dyDescent="0.2">
      <c r="B14" s="2" t="s">
        <v>82</v>
      </c>
      <c r="L14" s="2">
        <v>200</v>
      </c>
      <c r="M14" s="2">
        <v>268</v>
      </c>
      <c r="N14" s="2">
        <v>280</v>
      </c>
    </row>
    <row r="15" spans="1:20" x14ac:dyDescent="0.2">
      <c r="B15" s="2" t="s">
        <v>83</v>
      </c>
      <c r="L15" s="2">
        <v>2473</v>
      </c>
      <c r="M15" s="2">
        <v>2233</v>
      </c>
      <c r="N15" s="2">
        <v>2259</v>
      </c>
    </row>
    <row r="16" spans="1:20" x14ac:dyDescent="0.2">
      <c r="B16" s="2" t="s">
        <v>84</v>
      </c>
      <c r="L16" s="2">
        <v>2447</v>
      </c>
      <c r="M16" s="2">
        <v>3321</v>
      </c>
      <c r="N16" s="2">
        <v>5451</v>
      </c>
    </row>
    <row r="17" spans="2:14" x14ac:dyDescent="0.2">
      <c r="B17" s="2" t="s">
        <v>85</v>
      </c>
      <c r="L17" s="2">
        <v>1796</v>
      </c>
      <c r="M17" s="2">
        <v>1703</v>
      </c>
      <c r="N17" s="2">
        <v>1168</v>
      </c>
    </row>
    <row r="18" spans="2:14" x14ac:dyDescent="0.2">
      <c r="B18" s="2" t="s">
        <v>86</v>
      </c>
      <c r="L18" s="2">
        <v>1003</v>
      </c>
      <c r="M18" s="2">
        <v>830</v>
      </c>
      <c r="N18" s="2">
        <v>690</v>
      </c>
    </row>
    <row r="19" spans="2:14" x14ac:dyDescent="0.2">
      <c r="B19" s="2" t="s">
        <v>87</v>
      </c>
      <c r="L19" s="2">
        <v>786</v>
      </c>
      <c r="M19" s="2">
        <v>757</v>
      </c>
      <c r="N19" s="2">
        <v>637</v>
      </c>
    </row>
    <row r="20" spans="2:14" x14ac:dyDescent="0.2">
      <c r="B20" s="2" t="s">
        <v>88</v>
      </c>
      <c r="L20" s="2">
        <v>412</v>
      </c>
      <c r="M20" s="2">
        <v>511</v>
      </c>
      <c r="N20" s="2">
        <v>586</v>
      </c>
    </row>
    <row r="21" spans="2:14" x14ac:dyDescent="0.2">
      <c r="B21" s="2" t="s">
        <v>89</v>
      </c>
      <c r="L21" s="2">
        <v>186</v>
      </c>
      <c r="M21" s="2">
        <v>245</v>
      </c>
      <c r="N21" s="2">
        <v>509</v>
      </c>
    </row>
    <row r="22" spans="2:14" x14ac:dyDescent="0.2">
      <c r="B22" s="2" t="s">
        <v>90</v>
      </c>
      <c r="L22" s="2">
        <v>532</v>
      </c>
      <c r="M22" s="2">
        <v>490</v>
      </c>
      <c r="N22" s="2">
        <v>509</v>
      </c>
    </row>
    <row r="23" spans="2:14" x14ac:dyDescent="0.2">
      <c r="B23" s="2" t="s">
        <v>91</v>
      </c>
      <c r="L23" s="2">
        <v>331</v>
      </c>
      <c r="M23" s="2">
        <v>406</v>
      </c>
      <c r="N23" s="2">
        <v>480</v>
      </c>
    </row>
    <row r="24" spans="2:14" x14ac:dyDescent="0.2">
      <c r="B24" s="2" t="s">
        <v>92</v>
      </c>
      <c r="L24" s="2">
        <v>360</v>
      </c>
      <c r="M24" s="2">
        <v>539</v>
      </c>
      <c r="N24" s="2">
        <v>470</v>
      </c>
    </row>
    <row r="25" spans="2:14" x14ac:dyDescent="0.2">
      <c r="B25" s="2" t="s">
        <v>93</v>
      </c>
      <c r="L25" s="2">
        <v>425</v>
      </c>
      <c r="M25" s="2">
        <v>424</v>
      </c>
      <c r="N25" s="2">
        <v>381</v>
      </c>
    </row>
    <row r="26" spans="2:14" x14ac:dyDescent="0.2">
      <c r="B26" s="2" t="s">
        <v>94</v>
      </c>
      <c r="L26" s="2">
        <v>27</v>
      </c>
      <c r="M26" s="2">
        <v>128</v>
      </c>
      <c r="N26" s="2">
        <v>215</v>
      </c>
    </row>
    <row r="27" spans="2:14" x14ac:dyDescent="0.2">
      <c r="B27" s="2" t="s">
        <v>95</v>
      </c>
      <c r="L27" s="2">
        <v>73</v>
      </c>
      <c r="M27" s="2">
        <v>328</v>
      </c>
      <c r="N27" s="2">
        <v>201</v>
      </c>
    </row>
    <row r="28" spans="2:14" x14ac:dyDescent="0.2">
      <c r="B28" s="2" t="s">
        <v>96</v>
      </c>
      <c r="L28" s="2">
        <v>4730</v>
      </c>
      <c r="M28" s="2">
        <v>4514</v>
      </c>
      <c r="N28" s="2">
        <v>4448</v>
      </c>
    </row>
    <row r="29" spans="2:14" x14ac:dyDescent="0.2">
      <c r="B29" s="2" t="s">
        <v>97</v>
      </c>
      <c r="L29" s="2">
        <v>743</v>
      </c>
      <c r="M29" s="2">
        <v>792</v>
      </c>
      <c r="N29" s="2">
        <v>907</v>
      </c>
    </row>
    <row r="30" spans="2:14" x14ac:dyDescent="0.2">
      <c r="B30" s="2" t="s">
        <v>98</v>
      </c>
      <c r="L30" s="2">
        <v>5120</v>
      </c>
      <c r="M30" s="2">
        <v>4753</v>
      </c>
      <c r="N30" s="2">
        <v>4367</v>
      </c>
    </row>
    <row r="31" spans="2:14" x14ac:dyDescent="0.2">
      <c r="B31" s="2" t="s">
        <v>99</v>
      </c>
      <c r="L31" s="2">
        <v>1650</v>
      </c>
      <c r="M31" s="2">
        <v>1659</v>
      </c>
      <c r="N31" s="2">
        <v>2039</v>
      </c>
    </row>
    <row r="32" spans="2:14" x14ac:dyDescent="0.2">
      <c r="B32" s="2" t="s">
        <v>100</v>
      </c>
      <c r="M32" s="2">
        <v>53</v>
      </c>
      <c r="N32" s="2">
        <v>1588</v>
      </c>
    </row>
    <row r="33" spans="1:20" x14ac:dyDescent="0.2">
      <c r="B33" s="2" t="s">
        <v>101</v>
      </c>
      <c r="M33" s="2">
        <v>56</v>
      </c>
      <c r="N33" s="2">
        <v>1089</v>
      </c>
    </row>
    <row r="34" spans="1:20" x14ac:dyDescent="0.2">
      <c r="B34" s="2" t="s">
        <v>102</v>
      </c>
      <c r="L34" s="2">
        <v>1753</v>
      </c>
      <c r="M34" s="2">
        <v>1407</v>
      </c>
      <c r="N34" s="2">
        <v>1037</v>
      </c>
    </row>
    <row r="35" spans="1:20" x14ac:dyDescent="0.2">
      <c r="B35" s="2" t="s">
        <v>103</v>
      </c>
      <c r="L35" s="2">
        <v>1003</v>
      </c>
      <c r="M35" s="2">
        <v>1036</v>
      </c>
      <c r="N35" s="2">
        <v>978</v>
      </c>
    </row>
    <row r="36" spans="1:20" x14ac:dyDescent="0.2">
      <c r="B36" s="2" t="s">
        <v>104</v>
      </c>
      <c r="L36" s="2">
        <v>343</v>
      </c>
      <c r="M36" s="2">
        <v>539</v>
      </c>
      <c r="N36" s="2">
        <v>731</v>
      </c>
    </row>
    <row r="37" spans="1:20" x14ac:dyDescent="0.2">
      <c r="B37" s="2" t="s">
        <v>105</v>
      </c>
      <c r="L37" s="2">
        <v>575</v>
      </c>
      <c r="M37" s="2">
        <v>645</v>
      </c>
      <c r="N37" s="2">
        <v>645</v>
      </c>
    </row>
    <row r="38" spans="1:20" x14ac:dyDescent="0.2">
      <c r="B38" s="2" t="s">
        <v>106</v>
      </c>
      <c r="L38" s="2">
        <v>456</v>
      </c>
      <c r="M38" s="2">
        <v>477</v>
      </c>
      <c r="N38" s="2">
        <v>607</v>
      </c>
    </row>
    <row r="39" spans="1:20" x14ac:dyDescent="0.2">
      <c r="B39" s="2" t="s">
        <v>107</v>
      </c>
      <c r="M39" s="2">
        <v>18</v>
      </c>
      <c r="N39" s="2">
        <v>480</v>
      </c>
    </row>
    <row r="40" spans="1:20" x14ac:dyDescent="0.2">
      <c r="B40" s="2" t="s">
        <v>108</v>
      </c>
      <c r="M40" s="2">
        <v>10</v>
      </c>
      <c r="N40" s="2">
        <v>133</v>
      </c>
    </row>
    <row r="41" spans="1:20" x14ac:dyDescent="0.2">
      <c r="B41" s="2" t="s">
        <v>109</v>
      </c>
      <c r="M41" s="2">
        <v>4</v>
      </c>
      <c r="N41" s="2">
        <v>131</v>
      </c>
    </row>
    <row r="42" spans="1:20" x14ac:dyDescent="0.2">
      <c r="B42" s="2" t="s">
        <v>110</v>
      </c>
      <c r="L42" s="2">
        <v>48</v>
      </c>
      <c r="M42" s="2">
        <v>64</v>
      </c>
      <c r="N42" s="2">
        <v>117</v>
      </c>
    </row>
    <row r="43" spans="1:20" x14ac:dyDescent="0.2">
      <c r="B43" s="2" t="s">
        <v>111</v>
      </c>
      <c r="L43" s="2">
        <v>1846</v>
      </c>
      <c r="M43" s="2">
        <v>1729</v>
      </c>
      <c r="N43" s="2">
        <v>1670</v>
      </c>
    </row>
    <row r="44" spans="1:20" s="3" customFormat="1" x14ac:dyDescent="0.2">
      <c r="A44" s="2"/>
      <c r="B44" s="2" t="s">
        <v>16</v>
      </c>
      <c r="L44" s="2">
        <f>91793</f>
        <v>91793</v>
      </c>
      <c r="M44" s="2">
        <v>50914</v>
      </c>
      <c r="N44" s="2">
        <v>53816</v>
      </c>
    </row>
    <row r="45" spans="1:20" x14ac:dyDescent="0.2">
      <c r="B45" s="2" t="s">
        <v>17</v>
      </c>
      <c r="L45" s="2">
        <v>8537</v>
      </c>
      <c r="M45" s="2">
        <v>7582</v>
      </c>
      <c r="N45" s="2">
        <v>8388</v>
      </c>
    </row>
    <row r="46" spans="1:20" x14ac:dyDescent="0.2">
      <c r="B46" s="2" t="s">
        <v>18</v>
      </c>
      <c r="L46" s="2">
        <v>845</v>
      </c>
      <c r="M46" s="2">
        <v>1058</v>
      </c>
      <c r="N46" s="2">
        <v>1423</v>
      </c>
    </row>
    <row r="47" spans="1:20" s="3" customFormat="1" x14ac:dyDescent="0.2">
      <c r="A47" s="2"/>
      <c r="B47" s="3" t="s">
        <v>8</v>
      </c>
      <c r="C47" s="3">
        <f t="shared" ref="C47:J47" si="1">SUM(C44:C46)</f>
        <v>0</v>
      </c>
      <c r="D47" s="3">
        <f t="shared" si="1"/>
        <v>0</v>
      </c>
      <c r="E47" s="3">
        <f t="shared" si="1"/>
        <v>0</v>
      </c>
      <c r="F47" s="3">
        <f t="shared" si="1"/>
        <v>0</v>
      </c>
      <c r="G47" s="3">
        <f t="shared" si="1"/>
        <v>0</v>
      </c>
      <c r="H47" s="3">
        <f t="shared" si="1"/>
        <v>0</v>
      </c>
      <c r="I47" s="3">
        <f t="shared" si="1"/>
        <v>0</v>
      </c>
      <c r="J47" s="3">
        <f t="shared" si="1"/>
        <v>0</v>
      </c>
      <c r="L47" s="3">
        <f>SUM(L44:L46)</f>
        <v>101175</v>
      </c>
      <c r="M47" s="3">
        <f>SUM(M44:M46)</f>
        <v>59554</v>
      </c>
      <c r="N47" s="3">
        <f>SUM(N44:N46)</f>
        <v>63627</v>
      </c>
      <c r="O47" s="3">
        <v>62500</v>
      </c>
      <c r="P47" s="3">
        <f>O47*1.04</f>
        <v>65000</v>
      </c>
      <c r="Q47" s="3">
        <f t="shared" ref="Q47:T47" si="2">P47*1.04</f>
        <v>67600</v>
      </c>
      <c r="R47" s="3">
        <f>Q47*0.7</f>
        <v>47320</v>
      </c>
      <c r="S47" s="3">
        <f t="shared" si="2"/>
        <v>49212.800000000003</v>
      </c>
      <c r="T47" s="3">
        <f t="shared" si="2"/>
        <v>51181.312000000005</v>
      </c>
    </row>
    <row r="48" spans="1:20" x14ac:dyDescent="0.2">
      <c r="B48" s="2" t="s">
        <v>19</v>
      </c>
      <c r="L48" s="2">
        <v>34344</v>
      </c>
      <c r="M48" s="2">
        <v>24954</v>
      </c>
      <c r="N48" s="2">
        <v>17851</v>
      </c>
      <c r="O48" s="2">
        <f t="shared" ref="O48:T48" si="3">O47*(1-O66)</f>
        <v>21875</v>
      </c>
      <c r="P48" s="2">
        <f t="shared" si="3"/>
        <v>22750</v>
      </c>
      <c r="Q48" s="2">
        <f t="shared" si="3"/>
        <v>23660</v>
      </c>
      <c r="R48" s="2">
        <f t="shared" si="3"/>
        <v>16562</v>
      </c>
      <c r="S48" s="2">
        <f t="shared" si="3"/>
        <v>17224.48</v>
      </c>
      <c r="T48" s="2">
        <f t="shared" si="3"/>
        <v>17913.459200000001</v>
      </c>
    </row>
    <row r="49" spans="2:122" x14ac:dyDescent="0.2">
      <c r="B49" s="2" t="s">
        <v>20</v>
      </c>
      <c r="L49" s="2">
        <f>L47-L48</f>
        <v>66831</v>
      </c>
      <c r="M49" s="2">
        <f t="shared" ref="M49:T49" si="4">M47-M48</f>
        <v>34600</v>
      </c>
      <c r="N49" s="2">
        <f t="shared" si="4"/>
        <v>45776</v>
      </c>
      <c r="O49" s="2">
        <f t="shared" si="4"/>
        <v>40625</v>
      </c>
      <c r="P49" s="2">
        <f t="shared" si="4"/>
        <v>42250</v>
      </c>
      <c r="Q49" s="2">
        <f t="shared" si="4"/>
        <v>43940</v>
      </c>
      <c r="R49" s="2">
        <f t="shared" si="4"/>
        <v>30758</v>
      </c>
      <c r="S49" s="2">
        <f t="shared" si="4"/>
        <v>31988.320000000003</v>
      </c>
      <c r="T49" s="2">
        <f t="shared" si="4"/>
        <v>33267.852800000008</v>
      </c>
    </row>
    <row r="50" spans="2:122" x14ac:dyDescent="0.2">
      <c r="B50" s="2" t="s">
        <v>36</v>
      </c>
      <c r="L50" s="2">
        <v>13677</v>
      </c>
      <c r="M50" s="2">
        <v>14771</v>
      </c>
      <c r="N50" s="2">
        <v>14730</v>
      </c>
      <c r="O50" s="2">
        <f>N50*1.02</f>
        <v>15024.6</v>
      </c>
      <c r="P50" s="2">
        <f t="shared" ref="P50:T50" si="5">O50*1.02</f>
        <v>15325.092000000001</v>
      </c>
      <c r="Q50" s="2">
        <f t="shared" si="5"/>
        <v>15631.593840000001</v>
      </c>
      <c r="R50" s="2">
        <f t="shared" si="5"/>
        <v>15944.225716800001</v>
      </c>
      <c r="S50" s="2">
        <f t="shared" si="5"/>
        <v>16263.110231136001</v>
      </c>
      <c r="T50" s="2">
        <f t="shared" si="5"/>
        <v>16588.37243575872</v>
      </c>
    </row>
    <row r="51" spans="2:122" x14ac:dyDescent="0.2">
      <c r="B51" s="2" t="s">
        <v>21</v>
      </c>
      <c r="L51" s="2">
        <v>11428</v>
      </c>
      <c r="M51" s="2">
        <v>10679</v>
      </c>
      <c r="N51" s="2">
        <v>10822</v>
      </c>
    </row>
    <row r="52" spans="2:122" x14ac:dyDescent="0.2">
      <c r="B52" s="2" t="s">
        <v>22</v>
      </c>
      <c r="L52" s="2">
        <v>3609</v>
      </c>
      <c r="M52" s="2">
        <v>4733</v>
      </c>
      <c r="N52" s="2">
        <v>5286</v>
      </c>
    </row>
    <row r="53" spans="2:122" x14ac:dyDescent="0.2">
      <c r="B53" s="2" t="s">
        <v>23</v>
      </c>
      <c r="L53" s="2">
        <v>1375</v>
      </c>
      <c r="M53" s="2">
        <v>2943</v>
      </c>
      <c r="N53" s="2">
        <v>2419</v>
      </c>
    </row>
    <row r="54" spans="2:122" x14ac:dyDescent="0.2">
      <c r="B54" s="2" t="s">
        <v>24</v>
      </c>
      <c r="L54" s="2">
        <v>1062</v>
      </c>
      <c r="M54" s="2">
        <v>222</v>
      </c>
      <c r="N54" s="2">
        <v>4388</v>
      </c>
    </row>
    <row r="55" spans="2:122" x14ac:dyDescent="0.2">
      <c r="B55" s="2" t="s">
        <v>25</v>
      </c>
      <c r="L55" s="2">
        <f>SUM(L51:L54)</f>
        <v>17474</v>
      </c>
      <c r="M55" s="2">
        <f>SUM(M51:M54)</f>
        <v>18577</v>
      </c>
      <c r="N55" s="2">
        <f>SUM(N51:N54)</f>
        <v>22915</v>
      </c>
      <c r="O55" s="2">
        <f t="shared" ref="O55:T55" si="6">SUM(O50:O54)</f>
        <v>15024.6</v>
      </c>
      <c r="P55" s="2">
        <f t="shared" si="6"/>
        <v>15325.092000000001</v>
      </c>
      <c r="Q55" s="2">
        <f t="shared" si="6"/>
        <v>15631.593840000001</v>
      </c>
      <c r="R55" s="2">
        <f t="shared" si="6"/>
        <v>15944.225716800001</v>
      </c>
      <c r="S55" s="2">
        <f t="shared" si="6"/>
        <v>16263.110231136001</v>
      </c>
      <c r="T55" s="2">
        <f t="shared" si="6"/>
        <v>16588.37243575872</v>
      </c>
    </row>
    <row r="56" spans="2:122" x14ac:dyDescent="0.2">
      <c r="B56" s="2" t="s">
        <v>26</v>
      </c>
      <c r="L56" s="2">
        <f t="shared" ref="L56:T56" si="7">L49-L55</f>
        <v>49357</v>
      </c>
      <c r="M56" s="2">
        <f t="shared" si="7"/>
        <v>16023</v>
      </c>
      <c r="N56" s="2">
        <f t="shared" si="7"/>
        <v>22861</v>
      </c>
      <c r="O56" s="2">
        <f t="shared" si="7"/>
        <v>25600.400000000001</v>
      </c>
      <c r="P56" s="2">
        <f t="shared" si="7"/>
        <v>26924.907999999999</v>
      </c>
      <c r="Q56" s="2">
        <f t="shared" si="7"/>
        <v>28308.406159999999</v>
      </c>
      <c r="R56" s="2">
        <f t="shared" si="7"/>
        <v>14813.774283199999</v>
      </c>
      <c r="S56" s="2">
        <f t="shared" si="7"/>
        <v>15725.209768864002</v>
      </c>
      <c r="T56" s="2">
        <f t="shared" si="7"/>
        <v>16679.480364241288</v>
      </c>
    </row>
    <row r="57" spans="2:122" x14ac:dyDescent="0.2">
      <c r="B57" s="2" t="s">
        <v>27</v>
      </c>
      <c r="O57" s="2">
        <f>N69*$W$63</f>
        <v>-945.54</v>
      </c>
      <c r="P57" s="2">
        <f t="shared" ref="P57:T57" si="8">O69*$W$63</f>
        <v>-552.04843440000002</v>
      </c>
      <c r="Q57" s="2">
        <f t="shared" si="8"/>
        <v>-131.137595733024</v>
      </c>
      <c r="R57" s="2">
        <f t="shared" si="8"/>
        <v>318.57161055267693</v>
      </c>
      <c r="S57" s="2">
        <f t="shared" si="8"/>
        <v>560.08385101696967</v>
      </c>
      <c r="T57" s="2">
        <f t="shared" si="8"/>
        <v>819.99713719027</v>
      </c>
    </row>
    <row r="58" spans="2:122" x14ac:dyDescent="0.2">
      <c r="B58" s="2" t="s">
        <v>28</v>
      </c>
      <c r="L58" s="2">
        <f>L56+L57</f>
        <v>49357</v>
      </c>
      <c r="M58" s="2">
        <f t="shared" ref="M58:T58" si="9">M56+M57</f>
        <v>16023</v>
      </c>
      <c r="N58" s="2">
        <f t="shared" si="9"/>
        <v>22861</v>
      </c>
      <c r="O58" s="2">
        <f t="shared" si="9"/>
        <v>24654.86</v>
      </c>
      <c r="P58" s="2">
        <f t="shared" si="9"/>
        <v>26372.8595656</v>
      </c>
      <c r="Q58" s="2">
        <f t="shared" si="9"/>
        <v>28177.268564266975</v>
      </c>
      <c r="R58" s="2">
        <f t="shared" si="9"/>
        <v>15132.345893752676</v>
      </c>
      <c r="S58" s="2">
        <f t="shared" si="9"/>
        <v>16285.293619880973</v>
      </c>
      <c r="T58" s="2">
        <f t="shared" si="9"/>
        <v>17499.477501431556</v>
      </c>
    </row>
    <row r="59" spans="2:122" x14ac:dyDescent="0.2">
      <c r="B59" s="2" t="s">
        <v>30</v>
      </c>
      <c r="L59" s="2">
        <v>3328</v>
      </c>
      <c r="M59" s="2">
        <v>-1115</v>
      </c>
      <c r="N59" s="2">
        <v>-28</v>
      </c>
      <c r="O59" s="2">
        <f>O58*0.2</f>
        <v>4930.9720000000007</v>
      </c>
      <c r="P59" s="2">
        <f t="shared" ref="P59:T59" si="10">P58*0.2</f>
        <v>5274.5719131200003</v>
      </c>
      <c r="Q59" s="2">
        <f t="shared" si="10"/>
        <v>5635.4537128533957</v>
      </c>
      <c r="R59" s="2">
        <f t="shared" si="10"/>
        <v>3026.4691787505353</v>
      </c>
      <c r="S59" s="2">
        <f t="shared" si="10"/>
        <v>3257.0587239761949</v>
      </c>
      <c r="T59" s="2">
        <f t="shared" si="10"/>
        <v>3499.8955002863113</v>
      </c>
    </row>
    <row r="60" spans="2:122" x14ac:dyDescent="0.2">
      <c r="B60" s="2" t="s">
        <v>29</v>
      </c>
      <c r="L60" s="2">
        <v>35</v>
      </c>
      <c r="M60" s="2">
        <v>39</v>
      </c>
      <c r="N60" s="2">
        <v>31</v>
      </c>
      <c r="O60" s="2">
        <f>O58*0.002</f>
        <v>49.309719999999999</v>
      </c>
      <c r="P60" s="2">
        <f t="shared" ref="P60:T60" si="11">P58*0.002</f>
        <v>52.745719131199998</v>
      </c>
      <c r="Q60" s="2">
        <f t="shared" si="11"/>
        <v>56.354537128533948</v>
      </c>
      <c r="R60" s="2">
        <f t="shared" si="11"/>
        <v>30.264691787505352</v>
      </c>
      <c r="S60" s="2">
        <f t="shared" si="11"/>
        <v>32.570587239761949</v>
      </c>
      <c r="T60" s="2">
        <f t="shared" si="11"/>
        <v>34.998955002863113</v>
      </c>
    </row>
    <row r="61" spans="2:122" x14ac:dyDescent="0.2">
      <c r="B61" s="2" t="s">
        <v>31</v>
      </c>
      <c r="L61" s="2">
        <f>L58-L59-L60</f>
        <v>45994</v>
      </c>
      <c r="M61" s="2">
        <f t="shared" ref="M61:Q61" si="12">M58-M59-M60</f>
        <v>17099</v>
      </c>
      <c r="N61" s="2">
        <f t="shared" si="12"/>
        <v>22858</v>
      </c>
      <c r="O61" s="2">
        <f t="shared" si="12"/>
        <v>19674.578279999998</v>
      </c>
      <c r="P61" s="2">
        <f t="shared" si="12"/>
        <v>21045.541933348803</v>
      </c>
      <c r="Q61" s="2">
        <f t="shared" si="12"/>
        <v>22485.460314285046</v>
      </c>
      <c r="R61" s="2">
        <f t="shared" ref="R61" si="13">R58-R59-R60</f>
        <v>12075.612023214637</v>
      </c>
      <c r="S61" s="2">
        <f t="shared" ref="S61" si="14">S58-S59-S60</f>
        <v>12995.664308665017</v>
      </c>
      <c r="T61" s="2">
        <f t="shared" ref="T61" si="15">T58-T59-T60</f>
        <v>13964.583046142383</v>
      </c>
      <c r="U61" s="2">
        <f t="shared" ref="U61:AZ61" si="16">T61*(1+$W$64)</f>
        <v>13824.937215680959</v>
      </c>
      <c r="V61" s="2">
        <f t="shared" si="16"/>
        <v>13686.687843524149</v>
      </c>
      <c r="W61" s="2">
        <f t="shared" si="16"/>
        <v>13549.820965088908</v>
      </c>
      <c r="X61" s="2">
        <f t="shared" si="16"/>
        <v>13414.322755438019</v>
      </c>
      <c r="Y61" s="2">
        <f t="shared" si="16"/>
        <v>13280.179527883638</v>
      </c>
      <c r="Z61" s="2">
        <f t="shared" si="16"/>
        <v>13147.377732604802</v>
      </c>
      <c r="AA61" s="2">
        <f t="shared" si="16"/>
        <v>13015.903955278754</v>
      </c>
      <c r="AB61" s="2">
        <f t="shared" si="16"/>
        <v>12885.744915725967</v>
      </c>
      <c r="AC61" s="2">
        <f t="shared" si="16"/>
        <v>12756.887466568707</v>
      </c>
      <c r="AD61" s="2">
        <f t="shared" si="16"/>
        <v>12629.31859190302</v>
      </c>
      <c r="AE61" s="2">
        <f t="shared" si="16"/>
        <v>12503.02540598399</v>
      </c>
      <c r="AF61" s="2">
        <f t="shared" si="16"/>
        <v>12377.995151924149</v>
      </c>
      <c r="AG61" s="2">
        <f t="shared" si="16"/>
        <v>12254.215200404908</v>
      </c>
      <c r="AH61" s="2">
        <f t="shared" si="16"/>
        <v>12131.673048400859</v>
      </c>
      <c r="AI61" s="2">
        <f t="shared" si="16"/>
        <v>12010.35631791685</v>
      </c>
      <c r="AJ61" s="2">
        <f t="shared" si="16"/>
        <v>11890.252754737681</v>
      </c>
      <c r="AK61" s="2">
        <f t="shared" si="16"/>
        <v>11771.350227190303</v>
      </c>
      <c r="AL61" s="2">
        <f t="shared" si="16"/>
        <v>11653.6367249184</v>
      </c>
      <c r="AM61" s="2">
        <f t="shared" si="16"/>
        <v>11537.100357669216</v>
      </c>
      <c r="AN61" s="2">
        <f t="shared" si="16"/>
        <v>11421.729354092524</v>
      </c>
      <c r="AO61" s="2">
        <f t="shared" si="16"/>
        <v>11307.512060551599</v>
      </c>
      <c r="AP61" s="2">
        <f t="shared" si="16"/>
        <v>11194.436939946083</v>
      </c>
      <c r="AQ61" s="2">
        <f t="shared" si="16"/>
        <v>11082.492570546621</v>
      </c>
      <c r="AR61" s="2">
        <f t="shared" si="16"/>
        <v>10971.667644841154</v>
      </c>
      <c r="AS61" s="2">
        <f t="shared" si="16"/>
        <v>10861.950968392743</v>
      </c>
      <c r="AT61" s="2">
        <f t="shared" si="16"/>
        <v>10753.331458708815</v>
      </c>
      <c r="AU61" s="2">
        <f t="shared" si="16"/>
        <v>10645.798144121727</v>
      </c>
      <c r="AV61" s="2">
        <f t="shared" si="16"/>
        <v>10539.34016268051</v>
      </c>
      <c r="AW61" s="2">
        <f t="shared" si="16"/>
        <v>10433.946761053705</v>
      </c>
      <c r="AX61" s="2">
        <f t="shared" si="16"/>
        <v>10329.607293443169</v>
      </c>
      <c r="AY61" s="2">
        <f t="shared" si="16"/>
        <v>10226.311220508736</v>
      </c>
      <c r="AZ61" s="2">
        <f t="shared" si="16"/>
        <v>10124.048108303648</v>
      </c>
      <c r="BA61" s="2">
        <f t="shared" ref="BA61:CF61" si="17">AZ61*(1+$W$64)</f>
        <v>10022.807627220613</v>
      </c>
      <c r="BB61" s="2">
        <f t="shared" si="17"/>
        <v>9922.5795509484069</v>
      </c>
      <c r="BC61" s="2">
        <f t="shared" si="17"/>
        <v>9823.3537554389222</v>
      </c>
      <c r="BD61" s="2">
        <f t="shared" si="17"/>
        <v>9725.1202178845324</v>
      </c>
      <c r="BE61" s="2">
        <f t="shared" si="17"/>
        <v>9627.8690157056863</v>
      </c>
      <c r="BF61" s="2">
        <f t="shared" si="17"/>
        <v>9531.5903255486301</v>
      </c>
      <c r="BG61" s="2">
        <f t="shared" si="17"/>
        <v>9436.2744222931433</v>
      </c>
      <c r="BH61" s="2">
        <f t="shared" si="17"/>
        <v>9341.9116780702116</v>
      </c>
      <c r="BI61" s="2">
        <f t="shared" si="17"/>
        <v>9248.4925612895095</v>
      </c>
      <c r="BJ61" s="2">
        <f t="shared" si="17"/>
        <v>9156.0076356766149</v>
      </c>
      <c r="BK61" s="2">
        <f t="shared" si="17"/>
        <v>9064.4475593198495</v>
      </c>
      <c r="BL61" s="2">
        <f t="shared" si="17"/>
        <v>8973.8030837266506</v>
      </c>
      <c r="BM61" s="2">
        <f t="shared" si="17"/>
        <v>8884.0650528893839</v>
      </c>
      <c r="BN61" s="2">
        <f t="shared" si="17"/>
        <v>8795.2244023604908</v>
      </c>
      <c r="BO61" s="2">
        <f t="shared" si="17"/>
        <v>8707.2721583368857</v>
      </c>
      <c r="BP61" s="2">
        <f t="shared" si="17"/>
        <v>8620.1994367535171</v>
      </c>
      <c r="BQ61" s="2">
        <f t="shared" si="17"/>
        <v>8533.9974423859821</v>
      </c>
      <c r="BR61" s="2">
        <f t="shared" si="17"/>
        <v>8448.6574679621226</v>
      </c>
      <c r="BS61" s="2">
        <f t="shared" si="17"/>
        <v>8364.1708932825004</v>
      </c>
      <c r="BT61" s="2">
        <f t="shared" si="17"/>
        <v>8280.5291843496761</v>
      </c>
      <c r="BU61" s="2">
        <f t="shared" si="17"/>
        <v>8197.7238925061793</v>
      </c>
      <c r="BV61" s="2">
        <f t="shared" si="17"/>
        <v>8115.7466535811172</v>
      </c>
      <c r="BW61" s="2">
        <f t="shared" si="17"/>
        <v>8034.5891870453061</v>
      </c>
      <c r="BX61" s="2">
        <f t="shared" si="17"/>
        <v>7954.2432951748533</v>
      </c>
      <c r="BY61" s="2">
        <f t="shared" si="17"/>
        <v>7874.7008622231051</v>
      </c>
      <c r="BZ61" s="2">
        <f t="shared" si="17"/>
        <v>7795.953853600874</v>
      </c>
      <c r="CA61" s="2">
        <f t="shared" si="17"/>
        <v>7717.9943150648651</v>
      </c>
      <c r="CB61" s="2">
        <f t="shared" si="17"/>
        <v>7640.8143719142163</v>
      </c>
      <c r="CC61" s="2">
        <f t="shared" si="17"/>
        <v>7564.4062281950737</v>
      </c>
      <c r="CD61" s="2">
        <f t="shared" si="17"/>
        <v>7488.7621659131228</v>
      </c>
      <c r="CE61" s="2">
        <f t="shared" si="17"/>
        <v>7413.8745442539912</v>
      </c>
      <c r="CF61" s="2">
        <f t="shared" si="17"/>
        <v>7339.7357988114509</v>
      </c>
      <c r="CG61" s="2">
        <f t="shared" ref="CG61:DL61" si="18">CF61*(1+$W$64)</f>
        <v>7266.338440823336</v>
      </c>
      <c r="CH61" s="2">
        <f t="shared" si="18"/>
        <v>7193.6750564151025</v>
      </c>
      <c r="CI61" s="2">
        <f t="shared" si="18"/>
        <v>7121.7383058509513</v>
      </c>
      <c r="CJ61" s="2">
        <f t="shared" si="18"/>
        <v>7050.5209227924415</v>
      </c>
      <c r="CK61" s="2">
        <f t="shared" si="18"/>
        <v>6980.0157135645168</v>
      </c>
      <c r="CL61" s="2">
        <f t="shared" si="18"/>
        <v>6910.2155564288714</v>
      </c>
      <c r="CM61" s="2">
        <f t="shared" si="18"/>
        <v>6841.1134008645822</v>
      </c>
      <c r="CN61" s="2">
        <f t="shared" si="18"/>
        <v>6772.7022668559366</v>
      </c>
      <c r="CO61" s="2">
        <f t="shared" si="18"/>
        <v>6704.975244187377</v>
      </c>
      <c r="CP61" s="2">
        <f t="shared" si="18"/>
        <v>6637.9254917455028</v>
      </c>
      <c r="CQ61" s="2">
        <f t="shared" si="18"/>
        <v>6571.5462368280478</v>
      </c>
      <c r="CR61" s="2">
        <f t="shared" si="18"/>
        <v>6505.8307744597669</v>
      </c>
      <c r="CS61" s="2">
        <f t="shared" si="18"/>
        <v>6440.7724667151688</v>
      </c>
      <c r="CT61" s="2">
        <f t="shared" si="18"/>
        <v>6376.3647420480174</v>
      </c>
      <c r="CU61" s="2">
        <f t="shared" si="18"/>
        <v>6312.6010946275373</v>
      </c>
      <c r="CV61" s="2">
        <f t="shared" si="18"/>
        <v>6249.4750836812618</v>
      </c>
      <c r="CW61" s="2">
        <f t="shared" si="18"/>
        <v>6186.9803328444495</v>
      </c>
      <c r="CX61" s="2">
        <f t="shared" si="18"/>
        <v>6125.110529516005</v>
      </c>
      <c r="CY61" s="2">
        <f t="shared" si="18"/>
        <v>6063.8594242208446</v>
      </c>
      <c r="CZ61" s="2">
        <f t="shared" si="18"/>
        <v>6003.2208299786362</v>
      </c>
      <c r="DA61" s="2">
        <f t="shared" si="18"/>
        <v>5943.1886216788498</v>
      </c>
      <c r="DB61" s="2">
        <f t="shared" si="18"/>
        <v>5883.7567354620614</v>
      </c>
      <c r="DC61" s="2">
        <f t="shared" si="18"/>
        <v>5824.9191681074408</v>
      </c>
      <c r="DD61" s="2">
        <f t="shared" si="18"/>
        <v>5766.6699764263667</v>
      </c>
      <c r="DE61" s="2">
        <f t="shared" si="18"/>
        <v>5709.0032766621034</v>
      </c>
      <c r="DF61" s="2">
        <f t="shared" si="18"/>
        <v>5651.9132438954821</v>
      </c>
      <c r="DG61" s="2">
        <f t="shared" si="18"/>
        <v>5595.3941114565268</v>
      </c>
      <c r="DH61" s="2">
        <f t="shared" si="18"/>
        <v>5539.4401703419617</v>
      </c>
      <c r="DI61" s="2">
        <f t="shared" si="18"/>
        <v>5484.0457686385416</v>
      </c>
      <c r="DJ61" s="2">
        <f t="shared" si="18"/>
        <v>5429.2053109521557</v>
      </c>
      <c r="DK61" s="2">
        <f t="shared" si="18"/>
        <v>5374.9132578426343</v>
      </c>
      <c r="DL61" s="2">
        <f t="shared" si="18"/>
        <v>5321.1641252642075</v>
      </c>
      <c r="DM61" s="2">
        <f t="shared" ref="DM61:DR61" si="19">DL61*(1+$W$64)</f>
        <v>5267.9524840115655</v>
      </c>
      <c r="DN61" s="2">
        <f t="shared" si="19"/>
        <v>5215.2729591714497</v>
      </c>
      <c r="DO61" s="2">
        <f t="shared" si="19"/>
        <v>5163.1202295797348</v>
      </c>
      <c r="DP61" s="2">
        <f t="shared" si="19"/>
        <v>5111.4890272839375</v>
      </c>
      <c r="DQ61" s="2">
        <f t="shared" si="19"/>
        <v>5060.3741370110984</v>
      </c>
      <c r="DR61" s="2">
        <f t="shared" si="19"/>
        <v>5009.7703956409878</v>
      </c>
    </row>
    <row r="62" spans="2:122" x14ac:dyDescent="0.2">
      <c r="B62" s="2" t="s">
        <v>1</v>
      </c>
      <c r="L62" s="2">
        <v>5733</v>
      </c>
      <c r="M62" s="2">
        <v>5709</v>
      </c>
      <c r="N62" s="2">
        <v>5700</v>
      </c>
      <c r="O62" s="2">
        <f>N62</f>
        <v>5700</v>
      </c>
      <c r="P62" s="2">
        <f t="shared" ref="P62:T62" si="20">O62</f>
        <v>5700</v>
      </c>
      <c r="Q62" s="2">
        <f t="shared" si="20"/>
        <v>5700</v>
      </c>
      <c r="R62" s="2">
        <f t="shared" si="20"/>
        <v>5700</v>
      </c>
      <c r="S62" s="2">
        <f t="shared" si="20"/>
        <v>5700</v>
      </c>
      <c r="T62" s="2">
        <f t="shared" si="20"/>
        <v>5700</v>
      </c>
    </row>
    <row r="63" spans="2:122" x14ac:dyDescent="0.2">
      <c r="B63" s="2" t="s">
        <v>32</v>
      </c>
      <c r="L63" s="1">
        <f>L61/L62</f>
        <v>8.0226757369614514</v>
      </c>
      <c r="M63" s="1">
        <f t="shared" ref="M63:N63" si="21">M61/M62</f>
        <v>2.9950954633035556</v>
      </c>
      <c r="N63" s="1">
        <f t="shared" si="21"/>
        <v>4.0101754385964909</v>
      </c>
      <c r="O63" s="1">
        <f t="shared" ref="O63" si="22">O61/O62</f>
        <v>3.4516803999999994</v>
      </c>
      <c r="P63" s="1">
        <f t="shared" ref="P63" si="23">P61/P62</f>
        <v>3.6922003391840006</v>
      </c>
      <c r="Q63" s="1">
        <f t="shared" ref="Q63" si="24">Q61/Q62</f>
        <v>3.9448175989973766</v>
      </c>
      <c r="R63" s="1">
        <f t="shared" ref="R63" si="25">R61/R62</f>
        <v>2.1185284251253749</v>
      </c>
      <c r="S63" s="1">
        <f t="shared" ref="S63" si="26">S61/S62</f>
        <v>2.2799411067833364</v>
      </c>
      <c r="T63" s="1">
        <f t="shared" ref="T63" si="27">T61/T62</f>
        <v>2.4499268502004181</v>
      </c>
      <c r="V63" s="2" t="s">
        <v>40</v>
      </c>
      <c r="W63" s="5">
        <v>0.02</v>
      </c>
    </row>
    <row r="64" spans="2:122" x14ac:dyDescent="0.2">
      <c r="L64" s="7"/>
      <c r="M64" s="7"/>
      <c r="N64" s="7"/>
      <c r="V64" s="2" t="s">
        <v>43</v>
      </c>
      <c r="W64" s="5">
        <v>-0.01</v>
      </c>
    </row>
    <row r="65" spans="1:23" s="3" customFormat="1" x14ac:dyDescent="0.2">
      <c r="A65" s="2"/>
      <c r="B65" s="3" t="s">
        <v>33</v>
      </c>
      <c r="M65" s="6">
        <f t="shared" ref="M65:T65" si="28">M47/L47-1</f>
        <v>-0.41137632814430447</v>
      </c>
      <c r="N65" s="6">
        <f t="shared" si="28"/>
        <v>6.8391711723813753E-2</v>
      </c>
      <c r="O65" s="6">
        <f t="shared" si="28"/>
        <v>-1.7712606283496024E-2</v>
      </c>
      <c r="P65" s="6">
        <f t="shared" si="28"/>
        <v>4.0000000000000036E-2</v>
      </c>
      <c r="Q65" s="6">
        <f t="shared" si="28"/>
        <v>4.0000000000000036E-2</v>
      </c>
      <c r="R65" s="6">
        <f t="shared" si="28"/>
        <v>-0.30000000000000004</v>
      </c>
      <c r="S65" s="6">
        <f t="shared" si="28"/>
        <v>4.0000000000000036E-2</v>
      </c>
      <c r="T65" s="6">
        <f t="shared" si="28"/>
        <v>4.0000000000000036E-2</v>
      </c>
      <c r="V65" s="2" t="s">
        <v>41</v>
      </c>
      <c r="W65" s="5">
        <v>0.08</v>
      </c>
    </row>
    <row r="66" spans="1:23" x14ac:dyDescent="0.2">
      <c r="B66" s="2" t="s">
        <v>34</v>
      </c>
      <c r="L66" s="5">
        <f>L49/L47</f>
        <v>0.66054855448480354</v>
      </c>
      <c r="M66" s="5">
        <f>M49/M47</f>
        <v>0.58098532424354365</v>
      </c>
      <c r="N66" s="5">
        <f>N49/N47</f>
        <v>0.71944300375626702</v>
      </c>
      <c r="O66" s="5">
        <v>0.65</v>
      </c>
      <c r="P66" s="5">
        <v>0.65</v>
      </c>
      <c r="Q66" s="5">
        <v>0.65</v>
      </c>
      <c r="R66" s="5">
        <v>0.65</v>
      </c>
      <c r="S66" s="5">
        <v>0.65</v>
      </c>
      <c r="T66" s="5">
        <v>0.65</v>
      </c>
      <c r="V66" s="2" t="s">
        <v>42</v>
      </c>
      <c r="W66" s="3">
        <f>NPV(W65,O61:XFD61)+Main!K5-Main!K6</f>
        <v>127092.75011623892</v>
      </c>
    </row>
    <row r="67" spans="1:23" x14ac:dyDescent="0.2">
      <c r="B67" s="2" t="s">
        <v>35</v>
      </c>
      <c r="M67" s="5">
        <f t="shared" ref="M67:T67" si="29">M50/L50-1</f>
        <v>7.9988301528112871E-2</v>
      </c>
      <c r="N67" s="5">
        <f t="shared" si="29"/>
        <v>-2.7757091598402672E-3</v>
      </c>
      <c r="O67" s="5">
        <f t="shared" si="29"/>
        <v>2.0000000000000018E-2</v>
      </c>
      <c r="P67" s="5">
        <f t="shared" si="29"/>
        <v>2.0000000000000018E-2</v>
      </c>
      <c r="Q67" s="5">
        <f t="shared" si="29"/>
        <v>2.0000000000000018E-2</v>
      </c>
      <c r="R67" s="5">
        <f t="shared" si="29"/>
        <v>2.0000000000000018E-2</v>
      </c>
      <c r="S67" s="5">
        <f t="shared" si="29"/>
        <v>2.0000000000000018E-2</v>
      </c>
      <c r="T67" s="5">
        <f t="shared" si="29"/>
        <v>2.0000000000000018E-2</v>
      </c>
      <c r="V67" s="2" t="s">
        <v>44</v>
      </c>
      <c r="W67" s="1">
        <f>W66/Main!K3</f>
        <v>22.35436716967488</v>
      </c>
    </row>
    <row r="68" spans="1:23" x14ac:dyDescent="0.2">
      <c r="M68" s="5"/>
      <c r="W68" s="5">
        <f>W67/Main!K2-1</f>
        <v>-4.2639521641332778E-2</v>
      </c>
    </row>
    <row r="69" spans="1:23" x14ac:dyDescent="0.2">
      <c r="B69" s="2" t="s">
        <v>37</v>
      </c>
      <c r="M69" s="2">
        <f>M70-SUM(M86:M89)</f>
        <v>-60189</v>
      </c>
      <c r="N69" s="2">
        <f>N70-SUM(N86:N89)</f>
        <v>-47277</v>
      </c>
      <c r="O69" s="2">
        <f>N69+O61</f>
        <v>-27602.421720000002</v>
      </c>
      <c r="P69" s="2">
        <f t="shared" ref="P69:T69" si="30">O69+P61</f>
        <v>-6556.8797866511995</v>
      </c>
      <c r="Q69" s="2">
        <f t="shared" si="30"/>
        <v>15928.580527633847</v>
      </c>
      <c r="R69" s="2">
        <f t="shared" si="30"/>
        <v>28004.192550848486</v>
      </c>
      <c r="S69" s="2">
        <f t="shared" si="30"/>
        <v>40999.8568595135</v>
      </c>
      <c r="T69" s="2">
        <f t="shared" si="30"/>
        <v>54964.439905655883</v>
      </c>
    </row>
    <row r="70" spans="1:23" x14ac:dyDescent="0.2">
      <c r="B70" s="2" t="s">
        <v>3</v>
      </c>
      <c r="M70" s="2">
        <f>2853+9837</f>
        <v>12690</v>
      </c>
      <c r="N70" s="2">
        <f>1043+19434</f>
        <v>20477</v>
      </c>
    </row>
    <row r="71" spans="1:23" x14ac:dyDescent="0.2">
      <c r="B71" s="2" t="s">
        <v>39</v>
      </c>
      <c r="M71" s="2">
        <f>11566</f>
        <v>11566</v>
      </c>
      <c r="N71" s="2">
        <f>11463</f>
        <v>11463</v>
      </c>
    </row>
    <row r="72" spans="1:23" x14ac:dyDescent="0.2">
      <c r="B72" s="2" t="s">
        <v>64</v>
      </c>
      <c r="M72" s="2">
        <f>10189</f>
        <v>10189</v>
      </c>
      <c r="N72" s="2">
        <f>10851</f>
        <v>10851</v>
      </c>
    </row>
    <row r="73" spans="1:23" x14ac:dyDescent="0.2">
      <c r="B73" s="2" t="s">
        <v>45</v>
      </c>
      <c r="M73" s="2">
        <f>3978+3706</f>
        <v>7684</v>
      </c>
      <c r="N73" s="2">
        <f>3314+8662</f>
        <v>11976</v>
      </c>
    </row>
    <row r="74" spans="1:23" x14ac:dyDescent="0.2">
      <c r="B74" s="2" t="s">
        <v>46</v>
      </c>
      <c r="M74" s="2">
        <f>11637+3731</f>
        <v>15368</v>
      </c>
      <c r="N74" s="2">
        <f>217+2010</f>
        <v>2227</v>
      </c>
    </row>
    <row r="75" spans="1:23" x14ac:dyDescent="0.2">
      <c r="B75" s="2" t="s">
        <v>47</v>
      </c>
      <c r="M75" s="2">
        <f>18940</f>
        <v>18940</v>
      </c>
      <c r="N75" s="2">
        <f>18393</f>
        <v>18393</v>
      </c>
    </row>
    <row r="76" spans="1:23" x14ac:dyDescent="0.2">
      <c r="B76" s="2" t="s">
        <v>48</v>
      </c>
      <c r="M76" s="2">
        <f>64900</f>
        <v>64900</v>
      </c>
      <c r="N76" s="2">
        <f>55411</f>
        <v>55411</v>
      </c>
    </row>
    <row r="77" spans="1:23" x14ac:dyDescent="0.2">
      <c r="B77" s="2" t="s">
        <v>49</v>
      </c>
      <c r="M77" s="2">
        <f>67783</f>
        <v>67783</v>
      </c>
      <c r="N77" s="2">
        <f>68527</f>
        <v>68527</v>
      </c>
    </row>
    <row r="78" spans="1:23" x14ac:dyDescent="0.2">
      <c r="B78" s="2" t="s">
        <v>24</v>
      </c>
      <c r="M78" s="2">
        <f>12471</f>
        <v>12471</v>
      </c>
      <c r="N78" s="2">
        <f>9814</f>
        <v>9814</v>
      </c>
    </row>
    <row r="79" spans="1:23" x14ac:dyDescent="0.2">
      <c r="B79" s="2" t="s">
        <v>58</v>
      </c>
      <c r="M79" s="2">
        <f>SUM(M70:M78)</f>
        <v>221591</v>
      </c>
      <c r="N79" s="2">
        <f>SUM(N70:N78)</f>
        <v>209139</v>
      </c>
    </row>
    <row r="81" spans="2:14" x14ac:dyDescent="0.2">
      <c r="B81" s="2" t="s">
        <v>38</v>
      </c>
      <c r="M81" s="2">
        <f>10350+6710+2372</f>
        <v>19432</v>
      </c>
      <c r="N81" s="2">
        <f>6946+5633+2437</f>
        <v>15016</v>
      </c>
    </row>
    <row r="82" spans="2:14" x14ac:dyDescent="0.2">
      <c r="B82" s="2" t="s">
        <v>50</v>
      </c>
      <c r="M82" s="2">
        <f>2349</f>
        <v>2349</v>
      </c>
      <c r="N82" s="2">
        <f>2910</f>
        <v>2910</v>
      </c>
    </row>
    <row r="83" spans="2:14" x14ac:dyDescent="0.2">
      <c r="B83" s="2" t="s">
        <v>51</v>
      </c>
      <c r="M83" s="2">
        <f>2776</f>
        <v>2776</v>
      </c>
      <c r="N83" s="2">
        <f>3838</f>
        <v>3838</v>
      </c>
    </row>
    <row r="84" spans="2:14" x14ac:dyDescent="0.2">
      <c r="B84" s="2" t="s">
        <v>52</v>
      </c>
      <c r="M84" s="2">
        <f>2700</f>
        <v>2700</v>
      </c>
      <c r="N84" s="2">
        <f>1511</f>
        <v>1511</v>
      </c>
    </row>
    <row r="85" spans="2:14" x14ac:dyDescent="0.2">
      <c r="B85" s="2" t="s">
        <v>53</v>
      </c>
      <c r="M85" s="2">
        <f>20537</f>
        <v>20537</v>
      </c>
      <c r="N85" s="2">
        <f>19720</f>
        <v>19720</v>
      </c>
    </row>
    <row r="86" spans="2:14" x14ac:dyDescent="0.2">
      <c r="B86" s="2" t="s">
        <v>4</v>
      </c>
      <c r="M86" s="2">
        <f>61538</f>
        <v>61538</v>
      </c>
      <c r="N86" s="2">
        <f>57405</f>
        <v>57405</v>
      </c>
    </row>
    <row r="87" spans="2:14" x14ac:dyDescent="0.2">
      <c r="B87" s="2" t="s">
        <v>54</v>
      </c>
      <c r="M87" s="2">
        <f>2167</f>
        <v>2167</v>
      </c>
      <c r="N87" s="2">
        <f>2115</f>
        <v>2115</v>
      </c>
    </row>
    <row r="88" spans="2:14" x14ac:dyDescent="0.2">
      <c r="B88" s="2" t="s">
        <v>55</v>
      </c>
      <c r="M88" s="2">
        <f>640</f>
        <v>640</v>
      </c>
      <c r="N88" s="2">
        <f>2122</f>
        <v>2122</v>
      </c>
    </row>
    <row r="89" spans="2:14" x14ac:dyDescent="0.2">
      <c r="B89" s="2" t="s">
        <v>56</v>
      </c>
      <c r="M89" s="2">
        <f>8534</f>
        <v>8534</v>
      </c>
      <c r="N89" s="2">
        <f>6112</f>
        <v>6112</v>
      </c>
    </row>
    <row r="90" spans="2:14" x14ac:dyDescent="0.2">
      <c r="B90" s="2" t="s">
        <v>57</v>
      </c>
      <c r="M90" s="2">
        <f>SUM(M81:M89)</f>
        <v>120673</v>
      </c>
      <c r="N90" s="2">
        <f>SUM(N81:N89)</f>
        <v>110749</v>
      </c>
    </row>
    <row r="91" spans="2:14" x14ac:dyDescent="0.2">
      <c r="B91" s="2" t="s">
        <v>59</v>
      </c>
      <c r="M91" s="2">
        <f>M79-M90</f>
        <v>100918</v>
      </c>
      <c r="N91" s="2">
        <f>N79-N90</f>
        <v>98390</v>
      </c>
    </row>
    <row r="92" spans="2:14" x14ac:dyDescent="0.2">
      <c r="B92" s="2" t="s">
        <v>60</v>
      </c>
      <c r="M92" s="2">
        <f>M90+M91</f>
        <v>221591</v>
      </c>
      <c r="N92" s="2">
        <f>N90+N91</f>
        <v>209139</v>
      </c>
    </row>
    <row r="94" spans="2:14" x14ac:dyDescent="0.2">
      <c r="B94" s="2" t="s">
        <v>65</v>
      </c>
      <c r="M94" s="2">
        <f>(M79-SUM(M76:M77))-M90</f>
        <v>-31765</v>
      </c>
      <c r="N94" s="2">
        <f>(N79-SUM(N76:N77))-N90</f>
        <v>-25548</v>
      </c>
    </row>
    <row r="96" spans="2:14" x14ac:dyDescent="0.2">
      <c r="B96" s="2" t="s">
        <v>61</v>
      </c>
      <c r="L96" s="2">
        <f>29267</f>
        <v>29267</v>
      </c>
      <c r="M96" s="2">
        <f>8700</f>
        <v>8700</v>
      </c>
      <c r="N96" s="2">
        <f>12744</f>
        <v>12744</v>
      </c>
    </row>
    <row r="97" spans="2:122" x14ac:dyDescent="0.2">
      <c r="B97" s="2" t="s">
        <v>62</v>
      </c>
      <c r="L97" s="2">
        <f>3236</f>
        <v>3236</v>
      </c>
      <c r="M97" s="2">
        <f>3907</f>
        <v>3907</v>
      </c>
      <c r="N97" s="2">
        <v>2909</v>
      </c>
    </row>
    <row r="98" spans="2:122" x14ac:dyDescent="0.2">
      <c r="B98" s="2" t="s">
        <v>63</v>
      </c>
      <c r="L98" s="2">
        <f>L96-L97</f>
        <v>26031</v>
      </c>
      <c r="M98" s="2">
        <f t="shared" ref="M98:N98" si="31">M96-M97</f>
        <v>4793</v>
      </c>
      <c r="N98" s="2">
        <f t="shared" si="31"/>
        <v>9835</v>
      </c>
      <c r="O98" s="2">
        <f t="shared" ref="O98:T98" si="32">O100*O47</f>
        <v>15625</v>
      </c>
      <c r="P98" s="2">
        <f t="shared" si="32"/>
        <v>16250</v>
      </c>
      <c r="Q98" s="2">
        <f t="shared" si="32"/>
        <v>16900</v>
      </c>
      <c r="R98" s="2">
        <f t="shared" si="32"/>
        <v>11830</v>
      </c>
      <c r="S98" s="2">
        <f t="shared" si="32"/>
        <v>12303.2</v>
      </c>
      <c r="T98" s="2">
        <f t="shared" si="32"/>
        <v>12795.328000000001</v>
      </c>
      <c r="U98" s="2">
        <f>T98*(1+$W$64)</f>
        <v>12667.374720000002</v>
      </c>
      <c r="V98" s="2">
        <f t="shared" ref="V98:CG98" si="33">U98*(1+$W$64)</f>
        <v>12540.700972800001</v>
      </c>
      <c r="W98" s="2">
        <f t="shared" si="33"/>
        <v>12415.293963072001</v>
      </c>
      <c r="X98" s="2">
        <f t="shared" si="33"/>
        <v>12291.141023441282</v>
      </c>
      <c r="Y98" s="2">
        <f t="shared" si="33"/>
        <v>12168.229613206868</v>
      </c>
      <c r="Z98" s="2">
        <f t="shared" si="33"/>
        <v>12046.547317074799</v>
      </c>
      <c r="AA98" s="2">
        <f t="shared" si="33"/>
        <v>11926.08184390405</v>
      </c>
      <c r="AB98" s="2">
        <f t="shared" si="33"/>
        <v>11806.821025465009</v>
      </c>
      <c r="AC98" s="2">
        <f t="shared" si="33"/>
        <v>11688.752815210359</v>
      </c>
      <c r="AD98" s="2">
        <f t="shared" si="33"/>
        <v>11571.865287058255</v>
      </c>
      <c r="AE98" s="2">
        <f t="shared" si="33"/>
        <v>11456.146634187673</v>
      </c>
      <c r="AF98" s="2">
        <f t="shared" si="33"/>
        <v>11341.585167845797</v>
      </c>
      <c r="AG98" s="2">
        <f t="shared" si="33"/>
        <v>11228.169316167339</v>
      </c>
      <c r="AH98" s="2">
        <f t="shared" si="33"/>
        <v>11115.887623005667</v>
      </c>
      <c r="AI98" s="2">
        <f t="shared" si="33"/>
        <v>11004.72874677561</v>
      </c>
      <c r="AJ98" s="2">
        <f t="shared" si="33"/>
        <v>10894.681459307854</v>
      </c>
      <c r="AK98" s="2">
        <f t="shared" si="33"/>
        <v>10785.734644714776</v>
      </c>
      <c r="AL98" s="2">
        <f t="shared" si="33"/>
        <v>10677.877298267627</v>
      </c>
      <c r="AM98" s="2">
        <f t="shared" si="33"/>
        <v>10571.098525284951</v>
      </c>
      <c r="AN98" s="2">
        <f t="shared" si="33"/>
        <v>10465.387540032101</v>
      </c>
      <c r="AO98" s="2">
        <f t="shared" si="33"/>
        <v>10360.73366463178</v>
      </c>
      <c r="AP98" s="2">
        <f t="shared" si="33"/>
        <v>10257.126327985461</v>
      </c>
      <c r="AQ98" s="2">
        <f t="shared" si="33"/>
        <v>10154.555064705606</v>
      </c>
      <c r="AR98" s="2">
        <f t="shared" si="33"/>
        <v>10053.009514058551</v>
      </c>
      <c r="AS98" s="2">
        <f t="shared" si="33"/>
        <v>9952.4794189179647</v>
      </c>
      <c r="AT98" s="2">
        <f t="shared" si="33"/>
        <v>9852.9546247287853</v>
      </c>
      <c r="AU98" s="2">
        <f t="shared" si="33"/>
        <v>9754.4250784814976</v>
      </c>
      <c r="AV98" s="2">
        <f t="shared" si="33"/>
        <v>9656.8808276966829</v>
      </c>
      <c r="AW98" s="2">
        <f t="shared" si="33"/>
        <v>9560.3120194197163</v>
      </c>
      <c r="AX98" s="2">
        <f t="shared" si="33"/>
        <v>9464.7088992255194</v>
      </c>
      <c r="AY98" s="2">
        <f t="shared" si="33"/>
        <v>9370.0618102332646</v>
      </c>
      <c r="AZ98" s="2">
        <f t="shared" si="33"/>
        <v>9276.3611921309312</v>
      </c>
      <c r="BA98" s="2">
        <f t="shared" si="33"/>
        <v>9183.5975802096218</v>
      </c>
      <c r="BB98" s="2">
        <f t="shared" si="33"/>
        <v>9091.7616044075257</v>
      </c>
      <c r="BC98" s="2">
        <f t="shared" si="33"/>
        <v>9000.843988363451</v>
      </c>
      <c r="BD98" s="2">
        <f t="shared" si="33"/>
        <v>8910.8355484798158</v>
      </c>
      <c r="BE98" s="2">
        <f t="shared" si="33"/>
        <v>8821.7271929950184</v>
      </c>
      <c r="BF98" s="2">
        <f t="shared" si="33"/>
        <v>8733.5099210650678</v>
      </c>
      <c r="BG98" s="2">
        <f t="shared" si="33"/>
        <v>8646.1748218544162</v>
      </c>
      <c r="BH98" s="2">
        <f t="shared" si="33"/>
        <v>8559.7130736358722</v>
      </c>
      <c r="BI98" s="2">
        <f t="shared" si="33"/>
        <v>8474.1159428995143</v>
      </c>
      <c r="BJ98" s="2">
        <f t="shared" si="33"/>
        <v>8389.3747834705191</v>
      </c>
      <c r="BK98" s="2">
        <f t="shared" si="33"/>
        <v>8305.4810356358139</v>
      </c>
      <c r="BL98" s="2">
        <f t="shared" si="33"/>
        <v>8222.426225279456</v>
      </c>
      <c r="BM98" s="2">
        <f t="shared" si="33"/>
        <v>8140.2019630266614</v>
      </c>
      <c r="BN98" s="2">
        <f t="shared" si="33"/>
        <v>8058.7999433963951</v>
      </c>
      <c r="BO98" s="2">
        <f t="shared" si="33"/>
        <v>7978.2119439624312</v>
      </c>
      <c r="BP98" s="2">
        <f t="shared" si="33"/>
        <v>7898.4298245228065</v>
      </c>
      <c r="BQ98" s="2">
        <f t="shared" si="33"/>
        <v>7819.4455262775782</v>
      </c>
      <c r="BR98" s="2">
        <f t="shared" si="33"/>
        <v>7741.2510710148026</v>
      </c>
      <c r="BS98" s="2">
        <f t="shared" si="33"/>
        <v>7663.8385603046545</v>
      </c>
      <c r="BT98" s="2">
        <f t="shared" si="33"/>
        <v>7587.2001747016075</v>
      </c>
      <c r="BU98" s="2">
        <f t="shared" si="33"/>
        <v>7511.3281729545915</v>
      </c>
      <c r="BV98" s="2">
        <f t="shared" si="33"/>
        <v>7436.2148912250459</v>
      </c>
      <c r="BW98" s="2">
        <f t="shared" si="33"/>
        <v>7361.8527423127953</v>
      </c>
      <c r="BX98" s="2">
        <f t="shared" si="33"/>
        <v>7288.2342148896669</v>
      </c>
      <c r="BY98" s="2">
        <f t="shared" si="33"/>
        <v>7215.35187274077</v>
      </c>
      <c r="BZ98" s="2">
        <f t="shared" si="33"/>
        <v>7143.1983540133624</v>
      </c>
      <c r="CA98" s="2">
        <f t="shared" si="33"/>
        <v>7071.7663704732286</v>
      </c>
      <c r="CB98" s="2">
        <f t="shared" si="33"/>
        <v>7001.0487067684962</v>
      </c>
      <c r="CC98" s="2">
        <f t="shared" si="33"/>
        <v>6931.0382197008112</v>
      </c>
      <c r="CD98" s="2">
        <f t="shared" si="33"/>
        <v>6861.7278375038031</v>
      </c>
      <c r="CE98" s="2">
        <f t="shared" si="33"/>
        <v>6793.1105591287651</v>
      </c>
      <c r="CF98" s="2">
        <f t="shared" si="33"/>
        <v>6725.1794535374775</v>
      </c>
      <c r="CG98" s="2">
        <f t="shared" si="33"/>
        <v>6657.9276590021027</v>
      </c>
      <c r="CH98" s="2">
        <f t="shared" ref="CH98:DR98" si="34">CG98*(1+$W$64)</f>
        <v>6591.3483824120813</v>
      </c>
      <c r="CI98" s="2">
        <f t="shared" si="34"/>
        <v>6525.4348985879606</v>
      </c>
      <c r="CJ98" s="2">
        <f t="shared" si="34"/>
        <v>6460.1805496020806</v>
      </c>
      <c r="CK98" s="2">
        <f t="shared" si="34"/>
        <v>6395.5787441060602</v>
      </c>
      <c r="CL98" s="2">
        <f t="shared" si="34"/>
        <v>6331.6229566649999</v>
      </c>
      <c r="CM98" s="2">
        <f t="shared" si="34"/>
        <v>6268.3067270983502</v>
      </c>
      <c r="CN98" s="2">
        <f t="shared" si="34"/>
        <v>6205.6236598273663</v>
      </c>
      <c r="CO98" s="2">
        <f t="shared" si="34"/>
        <v>6143.5674232290921</v>
      </c>
      <c r="CP98" s="2">
        <f t="shared" si="34"/>
        <v>6082.1317489968014</v>
      </c>
      <c r="CQ98" s="2">
        <f t="shared" si="34"/>
        <v>6021.3104315068331</v>
      </c>
      <c r="CR98" s="2">
        <f t="shared" si="34"/>
        <v>5961.0973271917646</v>
      </c>
      <c r="CS98" s="2">
        <f t="shared" si="34"/>
        <v>5901.4863539198468</v>
      </c>
      <c r="CT98" s="2">
        <f t="shared" si="34"/>
        <v>5842.471490380648</v>
      </c>
      <c r="CU98" s="2">
        <f t="shared" si="34"/>
        <v>5784.0467754768415</v>
      </c>
      <c r="CV98" s="2">
        <f t="shared" si="34"/>
        <v>5726.2063077220728</v>
      </c>
      <c r="CW98" s="2">
        <f t="shared" si="34"/>
        <v>5668.944244644852</v>
      </c>
      <c r="CX98" s="2">
        <f t="shared" si="34"/>
        <v>5612.254802198403</v>
      </c>
      <c r="CY98" s="2">
        <f t="shared" si="34"/>
        <v>5556.1322541764193</v>
      </c>
      <c r="CZ98" s="2">
        <f t="shared" si="34"/>
        <v>5500.5709316346547</v>
      </c>
      <c r="DA98" s="2">
        <f t="shared" si="34"/>
        <v>5445.5652223183079</v>
      </c>
      <c r="DB98" s="2">
        <f t="shared" si="34"/>
        <v>5391.1095700951246</v>
      </c>
      <c r="DC98" s="2">
        <f t="shared" si="34"/>
        <v>5337.198474394173</v>
      </c>
      <c r="DD98" s="2">
        <f t="shared" si="34"/>
        <v>5283.8264896502315</v>
      </c>
      <c r="DE98" s="2">
        <f t="shared" si="34"/>
        <v>5230.9882247537289</v>
      </c>
      <c r="DF98" s="2">
        <f t="shared" si="34"/>
        <v>5178.6783425061913</v>
      </c>
      <c r="DG98" s="2">
        <f t="shared" si="34"/>
        <v>5126.8915590811293</v>
      </c>
      <c r="DH98" s="2">
        <f t="shared" si="34"/>
        <v>5075.6226434903183</v>
      </c>
      <c r="DI98" s="2">
        <f t="shared" si="34"/>
        <v>5024.8664170554148</v>
      </c>
      <c r="DJ98" s="2">
        <f t="shared" si="34"/>
        <v>4974.6177528848602</v>
      </c>
      <c r="DK98" s="2">
        <f t="shared" si="34"/>
        <v>4924.8715753560118</v>
      </c>
      <c r="DL98" s="2">
        <f t="shared" si="34"/>
        <v>4875.6228596024521</v>
      </c>
      <c r="DM98" s="2">
        <f t="shared" si="34"/>
        <v>4826.8666310064273</v>
      </c>
      <c r="DN98" s="2">
        <f t="shared" si="34"/>
        <v>4778.5979646963633</v>
      </c>
      <c r="DO98" s="2">
        <f t="shared" si="34"/>
        <v>4730.8119850493995</v>
      </c>
      <c r="DP98" s="2">
        <f t="shared" si="34"/>
        <v>4683.5038651989053</v>
      </c>
      <c r="DQ98" s="2">
        <f t="shared" si="34"/>
        <v>4636.6688265469165</v>
      </c>
      <c r="DR98" s="2">
        <f t="shared" si="34"/>
        <v>4590.3021382814477</v>
      </c>
    </row>
    <row r="100" spans="2:122" x14ac:dyDescent="0.2">
      <c r="B100" s="2" t="s">
        <v>66</v>
      </c>
      <c r="L100" s="5">
        <f>L98/L47</f>
        <v>0.2572868791697554</v>
      </c>
      <c r="M100" s="5">
        <f>M98/M47</f>
        <v>8.048157974275448E-2</v>
      </c>
      <c r="N100" s="5">
        <f>N98/N47</f>
        <v>0.15457274427522907</v>
      </c>
      <c r="O100" s="5">
        <v>0.25</v>
      </c>
      <c r="P100" s="5">
        <v>0.25</v>
      </c>
      <c r="Q100" s="5">
        <v>0.25</v>
      </c>
      <c r="R100" s="5">
        <v>0.25</v>
      </c>
      <c r="S100" s="5">
        <v>0.25</v>
      </c>
      <c r="T100" s="5">
        <v>0.25</v>
      </c>
    </row>
    <row r="101" spans="2:122" x14ac:dyDescent="0.2">
      <c r="M101" s="5"/>
      <c r="V101" s="2" t="s">
        <v>40</v>
      </c>
      <c r="W101" s="5">
        <v>0.02</v>
      </c>
    </row>
    <row r="102" spans="2:122" x14ac:dyDescent="0.2">
      <c r="V102" s="2" t="s">
        <v>43</v>
      </c>
      <c r="W102" s="5">
        <v>-0.01</v>
      </c>
    </row>
    <row r="103" spans="2:122" x14ac:dyDescent="0.2">
      <c r="V103" s="2" t="s">
        <v>41</v>
      </c>
      <c r="W103" s="5">
        <v>0.08</v>
      </c>
    </row>
    <row r="104" spans="2:122" x14ac:dyDescent="0.2">
      <c r="V104" s="2" t="s">
        <v>42</v>
      </c>
      <c r="W104" s="3">
        <f>NPV(W103,O98:DR98)+Main!K5-Main!K6</f>
        <v>105305.19117047873</v>
      </c>
    </row>
    <row r="105" spans="2:122" x14ac:dyDescent="0.2">
      <c r="V105" s="2" t="s">
        <v>44</v>
      </c>
      <c r="W105" s="1">
        <f>W104/Main!K3</f>
        <v>18.522149423509145</v>
      </c>
    </row>
    <row r="106" spans="2:122" x14ac:dyDescent="0.2">
      <c r="W106" s="5">
        <f>W105/Main!K2-1</f>
        <v>-0.2067601959953258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8D096-8E92-4CC1-8315-BCC48286D919}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Model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R</dc:creator>
  <cp:lastModifiedBy>Liam R</cp:lastModifiedBy>
  <dcterms:created xsi:type="dcterms:W3CDTF">2025-06-09T04:48:16Z</dcterms:created>
  <dcterms:modified xsi:type="dcterms:W3CDTF">2025-08-14T23:42:07Z</dcterms:modified>
</cp:coreProperties>
</file>