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6CA04711-A758-43A5-94EA-A25F73BE1023}" xr6:coauthVersionLast="47" xr6:coauthVersionMax="47" xr10:uidLastSave="{00000000-0000-0000-0000-000000000000}"/>
  <bookViews>
    <workbookView xWindow="-105" yWindow="0" windowWidth="14610" windowHeight="15585" xr2:uid="{EA782F9C-EC39-4135-9E05-852174F716B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3" i="2" l="1"/>
  <c r="W13" i="2"/>
  <c r="X13" i="2" s="1"/>
  <c r="Y13" i="2" s="1"/>
  <c r="L56" i="2"/>
  <c r="L41" i="2"/>
  <c r="L39" i="2"/>
  <c r="L38" i="2" s="1"/>
  <c r="J3" i="1"/>
  <c r="T11" i="2"/>
  <c r="T10" i="2"/>
  <c r="T8" i="2"/>
  <c r="T7" i="2"/>
  <c r="T3" i="2"/>
  <c r="T4" i="2"/>
  <c r="L5" i="2"/>
  <c r="H5" i="2"/>
  <c r="I5" i="2"/>
  <c r="J5" i="2"/>
  <c r="K5" i="2"/>
  <c r="G5" i="2"/>
  <c r="M13" i="2"/>
  <c r="N13" i="2" s="1"/>
  <c r="N5" i="2" s="1"/>
  <c r="U62" i="2"/>
  <c r="V61" i="2"/>
  <c r="W61" i="2" s="1"/>
  <c r="X61" i="2" s="1"/>
  <c r="Y61" i="2" s="1"/>
  <c r="L33" i="2"/>
  <c r="J6" i="1"/>
  <c r="J5" i="1"/>
  <c r="J4" i="1"/>
  <c r="J7" i="1" s="1"/>
  <c r="U29" i="2"/>
  <c r="V29" i="2" s="1"/>
  <c r="W29" i="2" s="1"/>
  <c r="X29" i="2" s="1"/>
  <c r="Y29" i="2" s="1"/>
  <c r="Q17" i="2"/>
  <c r="Q18" i="2" s="1"/>
  <c r="Q35" i="2" s="1"/>
  <c r="Q23" i="2"/>
  <c r="P23" i="2"/>
  <c r="P17" i="2"/>
  <c r="P18" i="2" s="1"/>
  <c r="J17" i="2"/>
  <c r="J18" i="2" s="1"/>
  <c r="J35" i="2" s="1"/>
  <c r="Q32" i="2"/>
  <c r="R32" i="2"/>
  <c r="P32" i="2"/>
  <c r="K33" i="2"/>
  <c r="D33" i="2"/>
  <c r="E33" i="2"/>
  <c r="F33" i="2"/>
  <c r="G33" i="2"/>
  <c r="H33" i="2"/>
  <c r="I33" i="2"/>
  <c r="J33" i="2"/>
  <c r="K32" i="2"/>
  <c r="G32" i="2"/>
  <c r="H32" i="2"/>
  <c r="I32" i="2"/>
  <c r="J32" i="2"/>
  <c r="D23" i="2"/>
  <c r="E23" i="2"/>
  <c r="F23" i="2"/>
  <c r="G23" i="2"/>
  <c r="H23" i="2"/>
  <c r="I23" i="2"/>
  <c r="J23" i="2"/>
  <c r="C23" i="2"/>
  <c r="F17" i="2"/>
  <c r="F18" i="2" s="1"/>
  <c r="G17" i="2"/>
  <c r="G18" i="2" s="1"/>
  <c r="H17" i="2"/>
  <c r="H18" i="2" s="1"/>
  <c r="I17" i="2"/>
  <c r="I18" i="2" s="1"/>
  <c r="I35" i="2" s="1"/>
  <c r="D17" i="2"/>
  <c r="D18" i="2" s="1"/>
  <c r="C17" i="2"/>
  <c r="C18" i="2" s="1"/>
  <c r="C35" i="2" s="1"/>
  <c r="E17" i="2"/>
  <c r="E18" i="2" s="1"/>
  <c r="E35" i="2" s="1"/>
  <c r="V60" i="2"/>
  <c r="W60" i="2" s="1"/>
  <c r="X60" i="2" s="1"/>
  <c r="Y60" i="2" s="1"/>
  <c r="S62" i="2"/>
  <c r="T62" i="2"/>
  <c r="R62" i="2"/>
  <c r="S23" i="2"/>
  <c r="T23" i="2"/>
  <c r="R23" i="2"/>
  <c r="S17" i="2"/>
  <c r="S18" i="2" s="1"/>
  <c r="S35" i="2" s="1"/>
  <c r="T17" i="2"/>
  <c r="T18" i="2" s="1"/>
  <c r="R17" i="2"/>
  <c r="R18" i="2" s="1"/>
  <c r="S32" i="2"/>
  <c r="T32" i="2"/>
  <c r="C62" i="2"/>
  <c r="Q2" i="2"/>
  <c r="R2" i="2" s="1"/>
  <c r="S2" i="2" s="1"/>
  <c r="T2" i="2" s="1"/>
  <c r="U2" i="2" s="1"/>
  <c r="V2" i="2" s="1"/>
  <c r="W2" i="2" s="1"/>
  <c r="X2" i="2" s="1"/>
  <c r="Y2" i="2" s="1"/>
  <c r="L49" i="2" l="1"/>
  <c r="L57" i="2" s="1"/>
  <c r="L58" i="2" s="1"/>
  <c r="T5" i="2"/>
  <c r="U5" i="2"/>
  <c r="M5" i="2"/>
  <c r="Y62" i="2"/>
  <c r="N32" i="2"/>
  <c r="V62" i="2"/>
  <c r="X62" i="2"/>
  <c r="W62" i="2"/>
  <c r="Q24" i="2"/>
  <c r="Q26" i="2" s="1"/>
  <c r="L32" i="2"/>
  <c r="P24" i="2"/>
  <c r="P35" i="2"/>
  <c r="J24" i="2"/>
  <c r="G24" i="2"/>
  <c r="G35" i="2"/>
  <c r="H35" i="2"/>
  <c r="H24" i="2"/>
  <c r="F24" i="2"/>
  <c r="F35" i="2"/>
  <c r="D35" i="2"/>
  <c r="D24" i="2"/>
  <c r="E24" i="2"/>
  <c r="C24" i="2"/>
  <c r="I24" i="2"/>
  <c r="T24" i="2"/>
  <c r="T36" i="2" s="1"/>
  <c r="R24" i="2"/>
  <c r="R36" i="2" s="1"/>
  <c r="T35" i="2"/>
  <c r="R35" i="2"/>
  <c r="S24" i="2"/>
  <c r="S36" i="2" s="1"/>
  <c r="Q36" i="2" l="1"/>
  <c r="L23" i="2"/>
  <c r="K17" i="2"/>
  <c r="K18" i="2" s="1"/>
  <c r="K35" i="2" s="1"/>
  <c r="U13" i="2"/>
  <c r="N33" i="2"/>
  <c r="M33" i="2"/>
  <c r="M32" i="2"/>
  <c r="Q28" i="2"/>
  <c r="P26" i="2"/>
  <c r="P36" i="2"/>
  <c r="J26" i="2"/>
  <c r="J36" i="2"/>
  <c r="F26" i="2"/>
  <c r="F36" i="2"/>
  <c r="D26" i="2"/>
  <c r="D36" i="2"/>
  <c r="H26" i="2"/>
  <c r="H36" i="2"/>
  <c r="G26" i="2"/>
  <c r="G36" i="2"/>
  <c r="C36" i="2"/>
  <c r="C26" i="2"/>
  <c r="E26" i="2"/>
  <c r="E36" i="2"/>
  <c r="I26" i="2"/>
  <c r="I36" i="2"/>
  <c r="R26" i="2"/>
  <c r="R28" i="2" s="1"/>
  <c r="T26" i="2"/>
  <c r="S26" i="2"/>
  <c r="M19" i="2" l="1"/>
  <c r="M22" i="2"/>
  <c r="M20" i="2"/>
  <c r="N20" i="2" s="1"/>
  <c r="M21" i="2"/>
  <c r="M16" i="2"/>
  <c r="M15" i="2"/>
  <c r="N15" i="2" s="1"/>
  <c r="U15" i="2" s="1"/>
  <c r="U32" i="2"/>
  <c r="L17" i="2"/>
  <c r="L18" i="2" s="1"/>
  <c r="P28" i="2"/>
  <c r="J28" i="2"/>
  <c r="J30" i="2" s="1"/>
  <c r="C28" i="2"/>
  <c r="C30" i="2" s="1"/>
  <c r="G28" i="2"/>
  <c r="G30" i="2" s="1"/>
  <c r="I28" i="2"/>
  <c r="I30" i="2" s="1"/>
  <c r="E28" i="2"/>
  <c r="E30" i="2" s="1"/>
  <c r="H28" i="2"/>
  <c r="H30" i="2" s="1"/>
  <c r="D28" i="2"/>
  <c r="D30" i="2" s="1"/>
  <c r="F28" i="2"/>
  <c r="F30" i="2" s="1"/>
  <c r="R30" i="2"/>
  <c r="T28" i="2"/>
  <c r="S28" i="2"/>
  <c r="L24" i="2" l="1"/>
  <c r="L36" i="2" s="1"/>
  <c r="L35" i="2"/>
  <c r="N14" i="2"/>
  <c r="M17" i="2"/>
  <c r="M18" i="2" s="1"/>
  <c r="U14" i="2"/>
  <c r="N16" i="2"/>
  <c r="U16" i="2" s="1"/>
  <c r="M23" i="2"/>
  <c r="N21" i="2"/>
  <c r="U21" i="2" s="1"/>
  <c r="N22" i="2"/>
  <c r="U22" i="2" s="1"/>
  <c r="V32" i="2"/>
  <c r="V15" i="2" s="1"/>
  <c r="N19" i="2"/>
  <c r="S30" i="2"/>
  <c r="T30" i="2"/>
  <c r="N23" i="2" l="1"/>
  <c r="W32" i="2"/>
  <c r="W15" i="2" s="1"/>
  <c r="V21" i="2"/>
  <c r="M24" i="2"/>
  <c r="M36" i="2" s="1"/>
  <c r="M35" i="2"/>
  <c r="V22" i="2"/>
  <c r="V16" i="2"/>
  <c r="W16" i="2" s="1"/>
  <c r="U17" i="2"/>
  <c r="V14" i="2"/>
  <c r="N17" i="2"/>
  <c r="N18" i="2" s="1"/>
  <c r="U19" i="2"/>
  <c r="V19" i="2" s="1"/>
  <c r="K23" i="2"/>
  <c r="K24" i="2" s="1"/>
  <c r="U20" i="2"/>
  <c r="W22" i="2" l="1"/>
  <c r="W21" i="2"/>
  <c r="W19" i="2"/>
  <c r="U23" i="2"/>
  <c r="N24" i="2"/>
  <c r="N36" i="2" s="1"/>
  <c r="N35" i="2"/>
  <c r="V17" i="2"/>
  <c r="V18" i="2" s="1"/>
  <c r="W14" i="2"/>
  <c r="X32" i="2"/>
  <c r="X15" i="2" s="1"/>
  <c r="K26" i="2"/>
  <c r="K36" i="2"/>
  <c r="V20" i="2"/>
  <c r="V23" i="2" s="1"/>
  <c r="Y32" i="2" l="1"/>
  <c r="Y15" i="2" s="1"/>
  <c r="X21" i="2"/>
  <c r="V35" i="2"/>
  <c r="V24" i="2"/>
  <c r="X22" i="2"/>
  <c r="Y22" i="2" s="1"/>
  <c r="W17" i="2"/>
  <c r="W18" i="2" s="1"/>
  <c r="X14" i="2"/>
  <c r="X16" i="2"/>
  <c r="Y16" i="2" s="1"/>
  <c r="X19" i="2"/>
  <c r="K28" i="2"/>
  <c r="W20" i="2"/>
  <c r="W23" i="2" s="1"/>
  <c r="Y21" i="2" l="1"/>
  <c r="Y19" i="2"/>
  <c r="W35" i="2"/>
  <c r="W24" i="2"/>
  <c r="X17" i="2"/>
  <c r="X18" i="2" s="1"/>
  <c r="Y14" i="2"/>
  <c r="Y17" i="2" s="1"/>
  <c r="Y18" i="2" s="1"/>
  <c r="X20" i="2"/>
  <c r="X23" i="2" s="1"/>
  <c r="L26" i="2"/>
  <c r="L28" i="2" s="1"/>
  <c r="L30" i="2" s="1"/>
  <c r="X35" i="2" l="1"/>
  <c r="X24" i="2"/>
  <c r="Y35" i="2"/>
  <c r="Y20" i="2"/>
  <c r="Y23" i="2" s="1"/>
  <c r="Y24" i="2" s="1"/>
  <c r="M25" i="2" l="1"/>
  <c r="M26" i="2" l="1"/>
  <c r="M27" i="2" s="1"/>
  <c r="M28" i="2" l="1"/>
  <c r="M30" i="2" l="1"/>
  <c r="M38" i="2"/>
  <c r="N25" i="2" l="1"/>
  <c r="U25" i="2" s="1"/>
  <c r="N26" i="2" l="1"/>
  <c r="N27" i="2" s="1"/>
  <c r="U27" i="2" s="1"/>
  <c r="N28" i="2" l="1"/>
  <c r="N30" i="2" l="1"/>
  <c r="N38" i="2"/>
  <c r="U38" i="2" s="1"/>
  <c r="V25" i="2" l="1"/>
  <c r="U18" i="2" l="1"/>
  <c r="U35" i="2" s="1"/>
  <c r="U24" i="2" l="1"/>
  <c r="U36" i="2" l="1"/>
  <c r="U26" i="2"/>
  <c r="U28" i="2" l="1"/>
  <c r="U30" i="2" s="1"/>
  <c r="Y36" i="2"/>
  <c r="W36" i="2"/>
  <c r="V26" i="2" l="1"/>
  <c r="V27" i="2" s="1"/>
  <c r="V36" i="2"/>
  <c r="X36" i="2"/>
  <c r="V28" i="2" l="1"/>
  <c r="V30" i="2" s="1"/>
  <c r="V38" i="2" l="1"/>
  <c r="W25" i="2"/>
  <c r="W26" i="2" s="1"/>
  <c r="W27" i="2" s="1"/>
  <c r="W28" i="2" l="1"/>
  <c r="W30" i="2" l="1"/>
  <c r="W38" i="2"/>
  <c r="X25" i="2" l="1"/>
  <c r="X26" i="2" s="1"/>
  <c r="X27" i="2" s="1"/>
  <c r="X28" i="2" l="1"/>
  <c r="X30" i="2" l="1"/>
  <c r="X38" i="2"/>
  <c r="Y25" i="2" l="1"/>
  <c r="Y26" i="2" s="1"/>
  <c r="Y27" i="2" s="1"/>
  <c r="Y28" i="2" l="1"/>
  <c r="Y30" i="2" l="1"/>
  <c r="Z28" i="2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DK28" i="2" s="1"/>
  <c r="DL28" i="2" s="1"/>
  <c r="DM28" i="2" s="1"/>
  <c r="DN28" i="2" s="1"/>
  <c r="DO28" i="2" s="1"/>
  <c r="DP28" i="2" s="1"/>
  <c r="DQ28" i="2" s="1"/>
  <c r="DR28" i="2" s="1"/>
  <c r="DS28" i="2" s="1"/>
  <c r="DT28" i="2" s="1"/>
  <c r="DU28" i="2" s="1"/>
  <c r="DV28" i="2" s="1"/>
  <c r="DW28" i="2" s="1"/>
  <c r="DX28" i="2" s="1"/>
  <c r="DY28" i="2" s="1"/>
  <c r="DZ28" i="2" s="1"/>
  <c r="EA28" i="2" s="1"/>
  <c r="EB28" i="2" s="1"/>
  <c r="EC28" i="2" s="1"/>
  <c r="ED28" i="2" s="1"/>
  <c r="EE28" i="2" s="1"/>
  <c r="EF28" i="2" s="1"/>
  <c r="EG28" i="2" s="1"/>
  <c r="EH28" i="2" s="1"/>
  <c r="EI28" i="2" s="1"/>
  <c r="EJ28" i="2" s="1"/>
  <c r="EK28" i="2" s="1"/>
  <c r="EL28" i="2" s="1"/>
  <c r="EM28" i="2" s="1"/>
  <c r="EN28" i="2" s="1"/>
  <c r="EO28" i="2" s="1"/>
  <c r="EP28" i="2" s="1"/>
  <c r="EQ28" i="2" s="1"/>
  <c r="ER28" i="2" s="1"/>
  <c r="ES28" i="2" s="1"/>
  <c r="ET28" i="2" s="1"/>
  <c r="EU28" i="2" s="1"/>
  <c r="EV28" i="2" s="1"/>
  <c r="EW28" i="2" s="1"/>
  <c r="EX28" i="2" s="1"/>
  <c r="EY28" i="2" s="1"/>
  <c r="EZ28" i="2" s="1"/>
  <c r="FA28" i="2" s="1"/>
  <c r="FB28" i="2" s="1"/>
  <c r="FC28" i="2" s="1"/>
  <c r="FD28" i="2" s="1"/>
  <c r="FE28" i="2" s="1"/>
  <c r="FF28" i="2" s="1"/>
  <c r="FG28" i="2" s="1"/>
  <c r="FH28" i="2" s="1"/>
  <c r="FI28" i="2" s="1"/>
  <c r="FJ28" i="2" s="1"/>
  <c r="FK28" i="2" s="1"/>
  <c r="FL28" i="2" s="1"/>
  <c r="FM28" i="2" s="1"/>
  <c r="FN28" i="2" s="1"/>
  <c r="FO28" i="2" s="1"/>
  <c r="Y38" i="2"/>
  <c r="Z62" i="2"/>
  <c r="AA62" i="2" l="1"/>
  <c r="AB62" i="2" s="1"/>
  <c r="AC62" i="2" s="1"/>
  <c r="AD62" i="2" s="1"/>
  <c r="AE62" i="2" s="1"/>
  <c r="AF62" i="2" s="1"/>
  <c r="AG62" i="2" s="1"/>
  <c r="AH62" i="2" s="1"/>
  <c r="AI62" i="2" s="1"/>
  <c r="AJ62" i="2" s="1"/>
  <c r="AK62" i="2" s="1"/>
  <c r="AL62" i="2" s="1"/>
  <c r="AM62" i="2" s="1"/>
  <c r="AN62" i="2" s="1"/>
  <c r="AO62" i="2" s="1"/>
  <c r="AP62" i="2" s="1"/>
  <c r="AQ62" i="2" s="1"/>
  <c r="AR62" i="2" s="1"/>
  <c r="AS62" i="2" s="1"/>
  <c r="AT62" i="2" s="1"/>
  <c r="AU62" i="2" s="1"/>
  <c r="AV62" i="2" s="1"/>
  <c r="AW62" i="2" s="1"/>
  <c r="AX62" i="2" s="1"/>
  <c r="AY62" i="2" s="1"/>
  <c r="AZ62" i="2" s="1"/>
  <c r="BA62" i="2" s="1"/>
  <c r="BB62" i="2" s="1"/>
  <c r="BC62" i="2" s="1"/>
  <c r="BD62" i="2" s="1"/>
  <c r="BE62" i="2" s="1"/>
  <c r="BF62" i="2" s="1"/>
  <c r="BG62" i="2" s="1"/>
  <c r="BH62" i="2" s="1"/>
  <c r="BI62" i="2" s="1"/>
  <c r="BJ62" i="2" s="1"/>
  <c r="BK62" i="2" s="1"/>
  <c r="BL62" i="2" s="1"/>
  <c r="BM62" i="2" s="1"/>
  <c r="BN62" i="2" s="1"/>
  <c r="BO62" i="2" s="1"/>
  <c r="BP62" i="2" s="1"/>
  <c r="BQ62" i="2" s="1"/>
  <c r="BR62" i="2" s="1"/>
  <c r="BS62" i="2" s="1"/>
  <c r="BT62" i="2" s="1"/>
  <c r="BU62" i="2" s="1"/>
  <c r="BV62" i="2" s="1"/>
  <c r="BW62" i="2" s="1"/>
  <c r="BX62" i="2" s="1"/>
  <c r="BY62" i="2" s="1"/>
  <c r="BZ62" i="2" s="1"/>
  <c r="CA62" i="2" s="1"/>
  <c r="CB62" i="2" s="1"/>
  <c r="CC62" i="2" s="1"/>
  <c r="CD62" i="2" s="1"/>
  <c r="CE62" i="2" s="1"/>
  <c r="CF62" i="2" s="1"/>
  <c r="CG62" i="2" s="1"/>
  <c r="CH62" i="2" s="1"/>
  <c r="CI62" i="2" s="1"/>
  <c r="CJ62" i="2" s="1"/>
  <c r="CK62" i="2" s="1"/>
  <c r="CL62" i="2" s="1"/>
  <c r="CM62" i="2" s="1"/>
  <c r="CN62" i="2" s="1"/>
  <c r="CO62" i="2" s="1"/>
  <c r="CP62" i="2" s="1"/>
  <c r="CQ62" i="2" s="1"/>
  <c r="CR62" i="2" s="1"/>
  <c r="CS62" i="2" s="1"/>
  <c r="CT62" i="2" s="1"/>
  <c r="CU62" i="2" s="1"/>
  <c r="CV62" i="2" s="1"/>
  <c r="CW62" i="2" s="1"/>
  <c r="CX62" i="2" s="1"/>
  <c r="CY62" i="2" s="1"/>
  <c r="CZ62" i="2" s="1"/>
  <c r="DA62" i="2" s="1"/>
  <c r="DB62" i="2" s="1"/>
  <c r="DC62" i="2" s="1"/>
  <c r="DD62" i="2" s="1"/>
  <c r="DE62" i="2" s="1"/>
  <c r="DF62" i="2" s="1"/>
  <c r="DG62" i="2" s="1"/>
  <c r="DH62" i="2" s="1"/>
  <c r="DI62" i="2" s="1"/>
  <c r="DJ62" i="2" s="1"/>
  <c r="DK62" i="2" s="1"/>
  <c r="DL62" i="2" s="1"/>
  <c r="DM62" i="2" s="1"/>
  <c r="DN62" i="2" s="1"/>
  <c r="DO62" i="2" s="1"/>
  <c r="DP62" i="2" s="1"/>
  <c r="DQ62" i="2" s="1"/>
  <c r="DR62" i="2" s="1"/>
  <c r="DS62" i="2" s="1"/>
  <c r="DT62" i="2" s="1"/>
  <c r="DU62" i="2" s="1"/>
  <c r="DV62" i="2" s="1"/>
  <c r="DW62" i="2" s="1"/>
  <c r="DX62" i="2" s="1"/>
  <c r="DY62" i="2" s="1"/>
  <c r="DZ62" i="2" s="1"/>
  <c r="EA62" i="2" s="1"/>
  <c r="EB62" i="2" s="1"/>
  <c r="EC62" i="2" s="1"/>
  <c r="ED62" i="2" s="1"/>
  <c r="EE62" i="2" s="1"/>
  <c r="EF62" i="2" s="1"/>
  <c r="EG62" i="2" s="1"/>
  <c r="EH62" i="2" s="1"/>
  <c r="EI62" i="2" s="1"/>
  <c r="EJ62" i="2" s="1"/>
  <c r="EK62" i="2" s="1"/>
  <c r="EL62" i="2" s="1"/>
  <c r="EM62" i="2" s="1"/>
  <c r="EN62" i="2" s="1"/>
  <c r="EO62" i="2" s="1"/>
  <c r="EP62" i="2" s="1"/>
  <c r="EQ62" i="2" s="1"/>
  <c r="ER62" i="2" s="1"/>
  <c r="ES62" i="2" s="1"/>
  <c r="ET62" i="2" s="1"/>
  <c r="EU62" i="2" s="1"/>
  <c r="EV62" i="2" s="1"/>
  <c r="EW62" i="2" s="1"/>
  <c r="EX62" i="2" s="1"/>
  <c r="EY62" i="2" s="1"/>
  <c r="EZ62" i="2" s="1"/>
  <c r="FA62" i="2" s="1"/>
  <c r="FB62" i="2" s="1"/>
  <c r="FC62" i="2" s="1"/>
  <c r="FD62" i="2" s="1"/>
  <c r="FE62" i="2" s="1"/>
  <c r="FF62" i="2" s="1"/>
  <c r="FG62" i="2" s="1"/>
  <c r="FH62" i="2" s="1"/>
  <c r="FI62" i="2" s="1"/>
  <c r="FJ62" i="2" s="1"/>
  <c r="FK62" i="2" s="1"/>
  <c r="FL62" i="2" s="1"/>
  <c r="AB33" i="2" l="1"/>
  <c r="AB34" i="2" s="1"/>
  <c r="AB3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tc={E08E663B-E6FF-4519-ACCD-64D986B4295F}</author>
    <author>tc={719AD843-92C6-4077-8744-3F10069976E9}</author>
    <author>tc={313F7BFC-EC3B-4EE9-9785-28F2684B236B}</author>
    <author>tc={5294E4A3-2350-4371-8F01-98DE0F9E65EA}</author>
  </authors>
  <commentList>
    <comment ref="M14" authorId="0" shapeId="0" xr:uid="{E08E663B-E6FF-4519-ACCD-64D986B4295F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</t>
      </text>
    </comment>
    <comment ref="U30" authorId="1" shapeId="0" xr:uid="{719AD843-92C6-4077-8744-3F10069976E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5.00 guidance
</t>
      </text>
    </comment>
    <comment ref="U61" authorId="2" shapeId="0" xr:uid="{313F7BFC-EC3B-4EE9-9785-28F2684B236B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</t>
      </text>
    </comment>
    <comment ref="U62" authorId="3" shapeId="0" xr:uid="{5294E4A3-2350-4371-8F01-98DE0F9E65EA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</t>
      </text>
    </comment>
  </commentList>
</comments>
</file>

<file path=xl/sharedStrings.xml><?xml version="1.0" encoding="utf-8"?>
<sst xmlns="http://schemas.openxmlformats.org/spreadsheetml/2006/main" count="94" uniqueCount="88">
  <si>
    <t>Price</t>
  </si>
  <si>
    <t>Shares</t>
  </si>
  <si>
    <t>MC</t>
  </si>
  <si>
    <t>Cash</t>
  </si>
  <si>
    <t>Debt</t>
  </si>
  <si>
    <t>EV</t>
  </si>
  <si>
    <t>EPS</t>
  </si>
  <si>
    <t>Q124</t>
  </si>
  <si>
    <t>Q224</t>
  </si>
  <si>
    <t>Q324</t>
  </si>
  <si>
    <t>Q424</t>
  </si>
  <si>
    <t>Q125</t>
  </si>
  <si>
    <t>Q225</t>
  </si>
  <si>
    <t>Revenue</t>
  </si>
  <si>
    <t>Transaction Expense</t>
  </si>
  <si>
    <t>S&amp;M</t>
  </si>
  <si>
    <t>R&amp;D</t>
  </si>
  <si>
    <t>G&amp;A</t>
  </si>
  <si>
    <t>Operating Income</t>
  </si>
  <si>
    <t>Pretax Income</t>
  </si>
  <si>
    <t>Tax</t>
  </si>
  <si>
    <t>Net Income</t>
  </si>
  <si>
    <t>Revenue Growth y/y</t>
  </si>
  <si>
    <t>Revenue Growth q/q</t>
  </si>
  <si>
    <t>Gross Margin</t>
  </si>
  <si>
    <t>Operating Margin</t>
  </si>
  <si>
    <t>CFFO</t>
  </si>
  <si>
    <t>CX</t>
  </si>
  <si>
    <t>FCF</t>
  </si>
  <si>
    <t>COGS</t>
  </si>
  <si>
    <t>Gross Profit</t>
  </si>
  <si>
    <t>Net Cash</t>
  </si>
  <si>
    <t>AP</t>
  </si>
  <si>
    <t>AR</t>
  </si>
  <si>
    <t>NPV</t>
  </si>
  <si>
    <t>Maturity</t>
  </si>
  <si>
    <t>Discount</t>
  </si>
  <si>
    <t>ROIC</t>
  </si>
  <si>
    <t>Q123</t>
  </si>
  <si>
    <t>Q223</t>
  </si>
  <si>
    <t>Q323</t>
  </si>
  <si>
    <t>Q423</t>
  </si>
  <si>
    <t>Support &amp; Operations</t>
  </si>
  <si>
    <t>Interest</t>
  </si>
  <si>
    <t>Q325</t>
  </si>
  <si>
    <t>Q425</t>
  </si>
  <si>
    <t>Questions</t>
  </si>
  <si>
    <t>Do they have an advantage in the payments industry or just a large moat of integrations?</t>
  </si>
  <si>
    <t>TPV</t>
  </si>
  <si>
    <t>Venmo TPV</t>
  </si>
  <si>
    <t>Transaction &amp; Credit Loss</t>
  </si>
  <si>
    <t>P2P TPV</t>
  </si>
  <si>
    <t>US TPV</t>
  </si>
  <si>
    <t>International TPV</t>
  </si>
  <si>
    <t>Total Take Rate</t>
  </si>
  <si>
    <t>Transaction Take Rate</t>
  </si>
  <si>
    <t>Main</t>
  </si>
  <si>
    <t>Share</t>
  </si>
  <si>
    <t>Loans</t>
  </si>
  <si>
    <t>Customer Acccounts</t>
  </si>
  <si>
    <t>Prepaids</t>
  </si>
  <si>
    <t>Investments</t>
  </si>
  <si>
    <t>PP&amp;E</t>
  </si>
  <si>
    <t>GW</t>
  </si>
  <si>
    <t>Intangible Assets</t>
  </si>
  <si>
    <t>Other Assets</t>
  </si>
  <si>
    <t>Assets</t>
  </si>
  <si>
    <t>Funds Payable</t>
  </si>
  <si>
    <t>Accrued Expenses</t>
  </si>
  <si>
    <t>OLTL</t>
  </si>
  <si>
    <t>Liabilities</t>
  </si>
  <si>
    <t>SE</t>
  </si>
  <si>
    <t>L+SE</t>
  </si>
  <si>
    <t>Other</t>
  </si>
  <si>
    <t>Operating Expenses</t>
  </si>
  <si>
    <t>PayPal partnering with LLMs for payment systems (perplexity)</t>
  </si>
  <si>
    <t xml:space="preserve">International is the growth factor US is stable </t>
  </si>
  <si>
    <t>PayPal moat consists of large integration and deals with many platforms and payment processing</t>
  </si>
  <si>
    <t>"pay with crypto take rate is quite attractive"</t>
  </si>
  <si>
    <t>Q225 conference call</t>
  </si>
  <si>
    <t>BNPL, pay w/crypto, venmo, paypal</t>
  </si>
  <si>
    <t>"we're really pushing on BNPL right now"</t>
  </si>
  <si>
    <t>"ping our API first and we will tell you exactly what this customer wants"</t>
  </si>
  <si>
    <t>"accelerate adoption in europe integrations"</t>
  </si>
  <si>
    <t>"continue to take share in europe"</t>
  </si>
  <si>
    <t>"accelerate rate of growth over next few quarters and years focus on branded checkout"</t>
  </si>
  <si>
    <t>"3 milliion since launch NFT tap to pay; reward system"</t>
  </si>
  <si>
    <t>offline and online expansion end-end full wallet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</si>
</sst>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sz val="9"/>
      <color indexed="81"/>
      <name val="Tahoma"/>
      <charset val="1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3" fontId="3" fillId="0" borderId="0" xfId="0" applyNumberFormat="1" applyFont="1"/>
    <xf numFmtId="1" fontId="3" fillId="0" borderId="0" xfId="0" applyNumberFormat="1" applyFont="1"/>
    <xf numFmtId="3" fontId="4" fillId="0" borderId="0" xfId="0" applyNumberFormat="1" applyFont="1"/>
    <xf numFmtId="9" fontId="3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9" fontId="4" fillId="0" borderId="0" xfId="0" applyNumberFormat="1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5" fillId="0" borderId="0" xfId="0" applyFont="1"/>
    <xf numFmtId="3" fontId="1" fillId="0" borderId="0" xfId="0" applyNumberFormat="1" applyFont="1"/>
    <xf numFmtId="0" fontId="1" fillId="0" borderId="0" xfId="0" applyFont="1"/>
    <xf numFmtId="3" fontId="8" fillId="0" borderId="0" xfId="1" applyNumberFormat="1" applyFont="1"/>
    <xf numFmtId="1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605204</xdr:colOff>
      <xdr:row>0</xdr:row>
      <xdr:rowOff>0</xdr:rowOff>
    </xdr:from>
    <xdr:to>
      <xdr:col>12</xdr:col>
      <xdr:colOff>7327</xdr:colOff>
      <xdr:row>60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D7B2EEE-1EBF-8D54-931C-380CB534A122}"/>
            </a:ext>
          </a:extLst>
        </xdr:cNvPr>
        <xdr:cNvCxnSpPr/>
      </xdr:nvCxnSpPr>
      <xdr:spPr>
        <a:xfrm flipH="1">
          <a:off x="7902819" y="0"/>
          <a:ext cx="10258" cy="902676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600075</xdr:colOff>
      <xdr:row>1</xdr:row>
      <xdr:rowOff>0</xdr:rowOff>
    </xdr:from>
    <xdr:to>
      <xdr:col>20</xdr:col>
      <xdr:colOff>9525</xdr:colOff>
      <xdr:row>60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D065DD2-1077-48EE-AFF9-BEA29E8B2616}"/>
            </a:ext>
          </a:extLst>
        </xdr:cNvPr>
        <xdr:cNvCxnSpPr/>
      </xdr:nvCxnSpPr>
      <xdr:spPr>
        <a:xfrm flipH="1">
          <a:off x="12425729" y="0"/>
          <a:ext cx="17584" cy="886557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DCC0CF0B-BEE1-42A7-82C4-CB859031A168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4" dT="2025-08-15T00:45:21.66" personId="{DCC0CF0B-BEE1-42A7-82C4-CB859031A168}" id="{E08E663B-E6FF-4519-ACCD-64D986B4295F}">
    <text>guidance</text>
  </threadedComment>
  <threadedComment ref="U30" dT="2025-08-15T00:46:58.66" personId="{DCC0CF0B-BEE1-42A7-82C4-CB859031A168}" id="{719AD843-92C6-4077-8744-3F10069976E9}">
    <text xml:space="preserve">5.00 guidance
</text>
  </threadedComment>
  <threadedComment ref="U61" dT="2025-08-15T00:46:13.24" personId="{DCC0CF0B-BEE1-42A7-82C4-CB859031A168}" id="{313F7BFC-EC3B-4EE9-9785-28F2684B236B}">
    <text>guidance</text>
  </threadedComment>
  <threadedComment ref="U62" dT="2025-08-15T00:38:08.49" personId="{DCC0CF0B-BEE1-42A7-82C4-CB859031A168}" id="{5294E4A3-2350-4371-8F01-98DE0F9E65EA}">
    <text>guidance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AB345-9A71-4A10-9FCC-8B1DB985BF5A}">
  <dimension ref="A1:K25"/>
  <sheetViews>
    <sheetView tabSelected="1" topLeftCell="E1" zoomScale="115" zoomScaleNormal="115" workbookViewId="0">
      <selection activeCell="E25" sqref="E25"/>
    </sheetView>
  </sheetViews>
  <sheetFormatPr defaultRowHeight="12.75" x14ac:dyDescent="0.2"/>
  <cols>
    <col min="1" max="16384" width="9.140625" style="9"/>
  </cols>
  <sheetData>
    <row r="1" spans="1:11" x14ac:dyDescent="0.2">
      <c r="A1" s="8"/>
    </row>
    <row r="2" spans="1:11" x14ac:dyDescent="0.2">
      <c r="I2" s="9" t="s">
        <v>0</v>
      </c>
      <c r="J2" s="5">
        <v>69</v>
      </c>
    </row>
    <row r="3" spans="1:11" x14ac:dyDescent="0.2">
      <c r="I3" s="9" t="s">
        <v>1</v>
      </c>
      <c r="J3" s="1">
        <f>955.3784</f>
        <v>955.37840000000006</v>
      </c>
      <c r="K3" s="13" t="s">
        <v>12</v>
      </c>
    </row>
    <row r="4" spans="1:11" x14ac:dyDescent="0.2">
      <c r="I4" s="9" t="s">
        <v>2</v>
      </c>
      <c r="J4" s="1">
        <f>J3*J2</f>
        <v>65921.109600000011</v>
      </c>
    </row>
    <row r="5" spans="1:11" x14ac:dyDescent="0.2">
      <c r="I5" s="9" t="s">
        <v>3</v>
      </c>
      <c r="J5" s="1">
        <f>7449+3762</f>
        <v>11211</v>
      </c>
      <c r="K5" s="13" t="s">
        <v>12</v>
      </c>
    </row>
    <row r="6" spans="1:11" x14ac:dyDescent="0.2">
      <c r="I6" s="9" t="s">
        <v>4</v>
      </c>
      <c r="J6" s="1">
        <f>11417+2981</f>
        <v>14398</v>
      </c>
      <c r="K6" s="13" t="s">
        <v>12</v>
      </c>
    </row>
    <row r="7" spans="1:11" x14ac:dyDescent="0.2">
      <c r="I7" s="9" t="s">
        <v>5</v>
      </c>
      <c r="J7" s="1">
        <f>J4+J6-J5</f>
        <v>69108.109600000011</v>
      </c>
    </row>
    <row r="9" spans="1:11" x14ac:dyDescent="0.2">
      <c r="F9" s="11" t="s">
        <v>46</v>
      </c>
    </row>
    <row r="10" spans="1:11" x14ac:dyDescent="0.2">
      <c r="F10" s="10" t="s">
        <v>47</v>
      </c>
    </row>
    <row r="11" spans="1:11" x14ac:dyDescent="0.2">
      <c r="F11" s="13" t="s">
        <v>76</v>
      </c>
    </row>
    <row r="13" spans="1:11" x14ac:dyDescent="0.2">
      <c r="A13" s="13" t="s">
        <v>75</v>
      </c>
    </row>
    <row r="14" spans="1:11" x14ac:dyDescent="0.2">
      <c r="B14" s="13"/>
      <c r="F14" s="13" t="s">
        <v>77</v>
      </c>
    </row>
    <row r="15" spans="1:11" x14ac:dyDescent="0.2">
      <c r="F15" s="13" t="s">
        <v>80</v>
      </c>
    </row>
    <row r="17" spans="6:6" x14ac:dyDescent="0.2">
      <c r="F17" s="13" t="s">
        <v>79</v>
      </c>
    </row>
    <row r="18" spans="6:6" x14ac:dyDescent="0.2">
      <c r="F18" s="13" t="s">
        <v>78</v>
      </c>
    </row>
    <row r="19" spans="6:6" x14ac:dyDescent="0.2">
      <c r="F19" s="13" t="s">
        <v>81</v>
      </c>
    </row>
    <row r="20" spans="6:6" x14ac:dyDescent="0.2">
      <c r="F20" s="13" t="s">
        <v>82</v>
      </c>
    </row>
    <row r="21" spans="6:6" x14ac:dyDescent="0.2">
      <c r="F21" s="13" t="s">
        <v>83</v>
      </c>
    </row>
    <row r="22" spans="6:6" x14ac:dyDescent="0.2">
      <c r="F22" s="13" t="s">
        <v>84</v>
      </c>
    </row>
    <row r="23" spans="6:6" x14ac:dyDescent="0.2">
      <c r="F23" s="13" t="s">
        <v>85</v>
      </c>
    </row>
    <row r="24" spans="6:6" x14ac:dyDescent="0.2">
      <c r="F24" s="13" t="s">
        <v>86</v>
      </c>
    </row>
    <row r="25" spans="6:6" x14ac:dyDescent="0.2">
      <c r="F25" s="13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1E4BD-0CCB-4B4B-8440-0A8537A331C4}">
  <dimension ref="A1:FO62"/>
  <sheetViews>
    <sheetView zoomScale="130" zoomScaleNormal="130" workbookViewId="0">
      <pane xSplit="2" ySplit="2" topLeftCell="S3" activePane="bottomRight" state="frozen"/>
      <selection pane="topRight" activeCell="B1" sqref="B1"/>
      <selection pane="bottomLeft" activeCell="A2" sqref="A2"/>
      <selection pane="bottomRight" activeCell="V9" sqref="V9"/>
    </sheetView>
  </sheetViews>
  <sheetFormatPr defaultRowHeight="12.75" x14ac:dyDescent="0.2"/>
  <cols>
    <col min="1" max="1" width="5" style="1" bestFit="1" customWidth="1"/>
    <col min="2" max="2" width="22.85546875" style="1" bestFit="1" customWidth="1"/>
    <col min="3" max="9" width="9.140625" style="1"/>
    <col min="10" max="10" width="9.140625" style="1" customWidth="1"/>
    <col min="11" max="12" width="9.140625" style="1"/>
    <col min="13" max="13" width="10.140625" style="1" bestFit="1" customWidth="1"/>
    <col min="14" max="28" width="9.140625" style="1"/>
    <col min="29" max="29" width="9.85546875" style="1" bestFit="1" customWidth="1"/>
    <col min="30" max="16384" width="9.140625" style="1"/>
  </cols>
  <sheetData>
    <row r="1" spans="1:25" x14ac:dyDescent="0.2">
      <c r="A1" s="14" t="s">
        <v>56</v>
      </c>
      <c r="M1" s="15">
        <v>45958</v>
      </c>
    </row>
    <row r="2" spans="1:25" x14ac:dyDescent="0.2">
      <c r="C2" s="1" t="s">
        <v>38</v>
      </c>
      <c r="D2" s="1" t="s">
        <v>39</v>
      </c>
      <c r="E2" s="1" t="s">
        <v>40</v>
      </c>
      <c r="F2" s="1" t="s">
        <v>41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44</v>
      </c>
      <c r="N2" s="1" t="s">
        <v>45</v>
      </c>
      <c r="P2" s="2">
        <v>2020</v>
      </c>
      <c r="Q2" s="2">
        <f>P2+1</f>
        <v>2021</v>
      </c>
      <c r="R2" s="2">
        <f t="shared" ref="R2:Y2" si="0">Q2+1</f>
        <v>2022</v>
      </c>
      <c r="S2" s="2">
        <f t="shared" si="0"/>
        <v>2023</v>
      </c>
      <c r="T2" s="2">
        <f t="shared" si="0"/>
        <v>2024</v>
      </c>
      <c r="U2" s="2">
        <f t="shared" si="0"/>
        <v>2025</v>
      </c>
      <c r="V2" s="2">
        <f t="shared" si="0"/>
        <v>2026</v>
      </c>
      <c r="W2" s="2">
        <f t="shared" si="0"/>
        <v>2027</v>
      </c>
      <c r="X2" s="2">
        <f t="shared" si="0"/>
        <v>2028</v>
      </c>
      <c r="Y2" s="2">
        <f t="shared" si="0"/>
        <v>2029</v>
      </c>
    </row>
    <row r="3" spans="1:25" x14ac:dyDescent="0.2">
      <c r="B3" s="12" t="s">
        <v>52</v>
      </c>
      <c r="G3" s="1">
        <v>259190</v>
      </c>
      <c r="H3" s="1">
        <v>265526</v>
      </c>
      <c r="I3" s="1">
        <v>265706</v>
      </c>
      <c r="J3" s="1">
        <v>275911</v>
      </c>
      <c r="K3" s="1">
        <v>269916</v>
      </c>
      <c r="L3" s="1">
        <v>276778</v>
      </c>
      <c r="M3" s="4"/>
      <c r="P3" s="2"/>
      <c r="Q3" s="2"/>
      <c r="R3" s="2"/>
      <c r="S3" s="2"/>
      <c r="T3" s="1">
        <f>SUM(G3:J3)</f>
        <v>1066333</v>
      </c>
      <c r="V3" s="2"/>
      <c r="W3" s="2"/>
      <c r="X3" s="2"/>
      <c r="Y3" s="2"/>
    </row>
    <row r="4" spans="1:25" x14ac:dyDescent="0.2">
      <c r="B4" s="12" t="s">
        <v>53</v>
      </c>
      <c r="G4" s="1">
        <v>144671</v>
      </c>
      <c r="H4" s="1">
        <v>151288</v>
      </c>
      <c r="I4" s="1">
        <v>156934</v>
      </c>
      <c r="J4" s="1">
        <v>161925</v>
      </c>
      <c r="K4" s="1">
        <v>147293</v>
      </c>
      <c r="L4" s="1">
        <v>166768</v>
      </c>
      <c r="M4" s="4"/>
      <c r="P4" s="2"/>
      <c r="Q4" s="2"/>
      <c r="R4" s="2"/>
      <c r="S4" s="2"/>
      <c r="T4" s="1">
        <f>SUM(G4:J4)</f>
        <v>614818</v>
      </c>
      <c r="V4" s="2"/>
      <c r="W4" s="2"/>
      <c r="X4" s="2"/>
      <c r="Y4" s="2"/>
    </row>
    <row r="5" spans="1:25" x14ac:dyDescent="0.2">
      <c r="B5" s="12" t="s">
        <v>48</v>
      </c>
      <c r="F5" s="1">
        <v>409832</v>
      </c>
      <c r="G5" s="1">
        <f>SUM(G3:G4)</f>
        <v>403861</v>
      </c>
      <c r="H5" s="1">
        <f t="shared" ref="H5:L5" si="1">SUM(H3:H4)</f>
        <v>416814</v>
      </c>
      <c r="I5" s="1">
        <f t="shared" si="1"/>
        <v>422640</v>
      </c>
      <c r="J5" s="1">
        <f t="shared" si="1"/>
        <v>437836</v>
      </c>
      <c r="K5" s="1">
        <f t="shared" si="1"/>
        <v>417209</v>
      </c>
      <c r="L5" s="1">
        <f t="shared" si="1"/>
        <v>443546</v>
      </c>
      <c r="M5" s="1">
        <f>M13/M10</f>
        <v>449296.84210526315</v>
      </c>
      <c r="N5" s="1">
        <f>N13/N10</f>
        <v>462775.74736842106</v>
      </c>
      <c r="P5" s="2"/>
      <c r="Q5" s="2"/>
      <c r="R5" s="2"/>
      <c r="S5" s="2"/>
      <c r="T5" s="1">
        <f>SUM(G5:J5)</f>
        <v>1681151</v>
      </c>
      <c r="U5" s="1">
        <f>SUM(H5:K5)</f>
        <v>1694499</v>
      </c>
      <c r="V5" s="2"/>
      <c r="W5" s="2"/>
      <c r="X5" s="2"/>
      <c r="Y5" s="2"/>
    </row>
    <row r="6" spans="1:25" x14ac:dyDescent="0.2">
      <c r="B6" s="12"/>
      <c r="J6" s="4"/>
      <c r="K6" s="4"/>
      <c r="L6" s="4"/>
      <c r="M6" s="4"/>
      <c r="N6" s="4"/>
      <c r="P6" s="2"/>
      <c r="Q6" s="2"/>
      <c r="R6" s="2"/>
      <c r="S6" s="2"/>
      <c r="T6" s="2"/>
      <c r="U6" s="4"/>
      <c r="V6" s="2"/>
      <c r="W6" s="2"/>
      <c r="X6" s="2"/>
      <c r="Y6" s="2"/>
    </row>
    <row r="7" spans="1:25" x14ac:dyDescent="0.2">
      <c r="B7" s="12" t="s">
        <v>51</v>
      </c>
      <c r="G7" s="1">
        <v>96361</v>
      </c>
      <c r="H7" s="1">
        <v>100802</v>
      </c>
      <c r="I7" s="1">
        <v>102353</v>
      </c>
      <c r="J7" s="1">
        <v>102663</v>
      </c>
      <c r="K7" s="1">
        <v>101383</v>
      </c>
      <c r="L7" s="1">
        <v>108442</v>
      </c>
      <c r="P7" s="2"/>
      <c r="Q7" s="2"/>
      <c r="R7" s="2"/>
      <c r="S7" s="2"/>
      <c r="T7" s="1">
        <f>SUM(G7:J7)</f>
        <v>402179</v>
      </c>
      <c r="U7" s="2"/>
      <c r="V7" s="2"/>
      <c r="W7" s="2"/>
      <c r="X7" s="2"/>
      <c r="Y7" s="2"/>
    </row>
    <row r="8" spans="1:25" x14ac:dyDescent="0.2">
      <c r="B8" s="12" t="s">
        <v>49</v>
      </c>
      <c r="G8" s="1">
        <v>69265</v>
      </c>
      <c r="H8" s="1">
        <v>73290</v>
      </c>
      <c r="I8" s="1">
        <v>74848</v>
      </c>
      <c r="J8" s="1">
        <v>75610</v>
      </c>
      <c r="K8" s="1">
        <v>75942</v>
      </c>
      <c r="L8" s="1">
        <v>81976</v>
      </c>
      <c r="P8" s="2"/>
      <c r="Q8" s="2"/>
      <c r="R8" s="2"/>
      <c r="S8" s="2"/>
      <c r="T8" s="1">
        <f>SUM(G8:J8)</f>
        <v>293013</v>
      </c>
      <c r="U8" s="2"/>
      <c r="V8" s="2"/>
      <c r="W8" s="2"/>
      <c r="X8" s="2"/>
      <c r="Y8" s="2"/>
    </row>
    <row r="9" spans="1:25" x14ac:dyDescent="0.2">
      <c r="B9" s="12"/>
      <c r="K9" s="4"/>
      <c r="L9" s="4"/>
      <c r="M9" s="4"/>
      <c r="N9" s="4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">
      <c r="B10" s="12" t="s">
        <v>54</v>
      </c>
      <c r="G10" s="6">
        <v>1.9099999999999999E-2</v>
      </c>
      <c r="H10" s="6">
        <v>1.89E-2</v>
      </c>
      <c r="I10" s="6">
        <v>1.8599999999999998E-2</v>
      </c>
      <c r="J10" s="6">
        <v>1.9099999999999999E-2</v>
      </c>
      <c r="K10" s="6">
        <v>1.8700000000000001E-2</v>
      </c>
      <c r="L10" s="6">
        <v>1.8700000000000001E-2</v>
      </c>
      <c r="M10" s="6">
        <v>1.9E-2</v>
      </c>
      <c r="N10" s="6">
        <v>1.9E-2</v>
      </c>
      <c r="P10" s="2"/>
      <c r="Q10" s="2"/>
      <c r="R10" s="2"/>
      <c r="S10" s="2"/>
      <c r="T10" s="6">
        <f>AVERAGE(G10:J10)</f>
        <v>1.8924999999999997E-2</v>
      </c>
      <c r="U10" s="2"/>
      <c r="V10" s="2"/>
      <c r="W10" s="2"/>
      <c r="X10" s="2"/>
      <c r="Y10" s="2"/>
    </row>
    <row r="11" spans="1:25" x14ac:dyDescent="0.2">
      <c r="B11" s="12" t="s">
        <v>55</v>
      </c>
      <c r="G11" s="6">
        <v>1.7399999999999999E-2</v>
      </c>
      <c r="H11" s="6">
        <v>1.72E-2</v>
      </c>
      <c r="I11" s="6">
        <v>1.67E-2</v>
      </c>
      <c r="J11" s="6">
        <v>1.7299999999999999E-2</v>
      </c>
      <c r="K11" s="6">
        <v>1.6799999999999999E-2</v>
      </c>
      <c r="L11" s="6">
        <v>1.6799999999999999E-2</v>
      </c>
      <c r="M11" s="6">
        <v>1.72E-2</v>
      </c>
      <c r="N11" s="6">
        <v>1.72E-2</v>
      </c>
      <c r="P11" s="2"/>
      <c r="Q11" s="2"/>
      <c r="R11" s="2"/>
      <c r="S11" s="2"/>
      <c r="T11" s="6">
        <f>AVERAGE(G11:J11)</f>
        <v>1.7149999999999999E-2</v>
      </c>
      <c r="U11" s="2"/>
      <c r="V11" s="2"/>
      <c r="W11" s="2"/>
      <c r="X11" s="2"/>
      <c r="Y11" s="2"/>
    </row>
    <row r="12" spans="1:25" x14ac:dyDescent="0.2">
      <c r="P12" s="2"/>
      <c r="Q12" s="2"/>
      <c r="R12" s="2"/>
      <c r="S12" s="4"/>
      <c r="T12" s="2"/>
      <c r="U12" s="2"/>
      <c r="V12" s="2"/>
      <c r="W12" s="2"/>
      <c r="X12" s="2"/>
      <c r="Y12" s="2"/>
    </row>
    <row r="13" spans="1:25" s="3" customFormat="1" x14ac:dyDescent="0.2">
      <c r="B13" s="3" t="s">
        <v>13</v>
      </c>
      <c r="C13" s="3">
        <v>7040</v>
      </c>
      <c r="D13" s="3">
        <v>7287</v>
      </c>
      <c r="E13" s="3">
        <v>7418</v>
      </c>
      <c r="F13" s="3">
        <v>8026</v>
      </c>
      <c r="G13" s="3">
        <v>7699</v>
      </c>
      <c r="H13" s="3">
        <v>7885</v>
      </c>
      <c r="I13" s="3">
        <v>7847</v>
      </c>
      <c r="J13" s="3">
        <v>8366</v>
      </c>
      <c r="K13" s="3">
        <v>7791</v>
      </c>
      <c r="L13" s="3">
        <v>8288</v>
      </c>
      <c r="M13" s="3">
        <f>L13*1.03</f>
        <v>8536.64</v>
      </c>
      <c r="N13" s="3">
        <f>M13*1.03</f>
        <v>8792.7392</v>
      </c>
      <c r="R13" s="3">
        <v>27518</v>
      </c>
      <c r="S13" s="3">
        <v>29771</v>
      </c>
      <c r="T13" s="3">
        <v>31797</v>
      </c>
      <c r="U13" s="3">
        <f>SUM(K13:N13)</f>
        <v>33408.379199999996</v>
      </c>
      <c r="V13" s="3">
        <f>U13*1.05</f>
        <v>35078.798159999998</v>
      </c>
      <c r="W13" s="3">
        <f t="shared" ref="W13:Y13" si="2">V13*1.05</f>
        <v>36832.738067999999</v>
      </c>
      <c r="X13" s="3">
        <f t="shared" si="2"/>
        <v>38674.374971400001</v>
      </c>
      <c r="Y13" s="3">
        <f t="shared" si="2"/>
        <v>40608.093719970006</v>
      </c>
    </row>
    <row r="14" spans="1:25" x14ac:dyDescent="0.2">
      <c r="B14" s="1" t="s">
        <v>14</v>
      </c>
      <c r="C14" s="1">
        <v>3283</v>
      </c>
      <c r="D14" s="1">
        <v>3541</v>
      </c>
      <c r="E14" s="1">
        <v>3603</v>
      </c>
      <c r="F14" s="1">
        <v>3958</v>
      </c>
      <c r="G14" s="1">
        <v>3917</v>
      </c>
      <c r="H14" s="1">
        <v>3942</v>
      </c>
      <c r="I14" s="1">
        <v>3841</v>
      </c>
      <c r="J14" s="1">
        <v>3997</v>
      </c>
      <c r="K14" s="1">
        <v>3704</v>
      </c>
      <c r="L14" s="1">
        <v>3968</v>
      </c>
      <c r="M14" s="1">
        <v>3800</v>
      </c>
      <c r="N14" s="1">
        <f t="shared" ref="N14" si="3">M14*(1+N33)</f>
        <v>3914</v>
      </c>
      <c r="R14" s="1">
        <v>12173</v>
      </c>
      <c r="S14" s="1">
        <v>14385</v>
      </c>
      <c r="T14" s="1">
        <v>15697</v>
      </c>
      <c r="U14" s="1">
        <f>SUM(K14:N14)</f>
        <v>15386</v>
      </c>
      <c r="V14" s="1">
        <f t="shared" ref="V14:Y14" si="4">U14*(1+V32)</f>
        <v>16155.300000000001</v>
      </c>
      <c r="W14" s="1">
        <f t="shared" si="4"/>
        <v>16963.065000000002</v>
      </c>
      <c r="X14" s="1">
        <f t="shared" si="4"/>
        <v>17811.218250000002</v>
      </c>
      <c r="Y14" s="1">
        <f t="shared" si="4"/>
        <v>18701.779162500003</v>
      </c>
    </row>
    <row r="15" spans="1:25" x14ac:dyDescent="0.2">
      <c r="B15" s="12" t="s">
        <v>50</v>
      </c>
      <c r="C15" s="1">
        <v>442</v>
      </c>
      <c r="D15" s="1">
        <v>398</v>
      </c>
      <c r="E15" s="1">
        <v>446</v>
      </c>
      <c r="F15" s="1">
        <v>396</v>
      </c>
      <c r="G15" s="1">
        <v>321</v>
      </c>
      <c r="H15" s="1">
        <v>335</v>
      </c>
      <c r="I15" s="1">
        <v>352</v>
      </c>
      <c r="J15" s="1">
        <v>434</v>
      </c>
      <c r="K15" s="1">
        <v>371</v>
      </c>
      <c r="L15" s="1">
        <v>476</v>
      </c>
      <c r="M15" s="1">
        <f t="shared" ref="M15:N15" si="5">L15*(1+M33)</f>
        <v>490.28000000000003</v>
      </c>
      <c r="N15" s="1">
        <f t="shared" si="5"/>
        <v>504.98840000000007</v>
      </c>
      <c r="R15" s="1">
        <v>1572</v>
      </c>
      <c r="S15" s="1">
        <v>1682</v>
      </c>
      <c r="T15" s="1">
        <v>1442</v>
      </c>
      <c r="U15" s="1">
        <f>SUM(K15:N15)</f>
        <v>1842.2683999999999</v>
      </c>
      <c r="V15" s="1">
        <f t="shared" ref="V15:Y15" si="6">U15*(1+V32)</f>
        <v>1934.3818200000001</v>
      </c>
      <c r="W15" s="1">
        <f t="shared" si="6"/>
        <v>2031.1009110000002</v>
      </c>
      <c r="X15" s="1">
        <f t="shared" si="6"/>
        <v>2132.6559565500002</v>
      </c>
      <c r="Y15" s="1">
        <f t="shared" si="6"/>
        <v>2239.2887543775005</v>
      </c>
    </row>
    <row r="16" spans="1:25" x14ac:dyDescent="0.2">
      <c r="B16" s="1" t="s">
        <v>42</v>
      </c>
      <c r="C16" s="1">
        <v>488</v>
      </c>
      <c r="D16" s="1">
        <v>492</v>
      </c>
      <c r="E16" s="1">
        <v>474</v>
      </c>
      <c r="F16" s="1">
        <v>465</v>
      </c>
      <c r="G16" s="1">
        <v>454</v>
      </c>
      <c r="H16" s="1">
        <v>436</v>
      </c>
      <c r="I16" s="1">
        <v>427</v>
      </c>
      <c r="J16" s="1">
        <v>451</v>
      </c>
      <c r="K16" s="1">
        <v>398</v>
      </c>
      <c r="L16" s="1">
        <v>413</v>
      </c>
      <c r="M16" s="1">
        <f t="shared" ref="M16:N16" si="7">L16*(1+M33)</f>
        <v>425.39</v>
      </c>
      <c r="N16" s="1">
        <f t="shared" si="7"/>
        <v>438.15170000000001</v>
      </c>
      <c r="R16" s="1">
        <v>2120</v>
      </c>
      <c r="S16" s="1">
        <v>1919</v>
      </c>
      <c r="T16" s="1">
        <v>1768</v>
      </c>
      <c r="U16" s="1">
        <f>SUM(K16:N16)</f>
        <v>1674.5416999999998</v>
      </c>
      <c r="V16" s="1">
        <f t="shared" ref="V16:Y16" si="8">U16*(1+V32)</f>
        <v>1758.2687849999998</v>
      </c>
      <c r="W16" s="1">
        <f t="shared" si="8"/>
        <v>1846.1822242499998</v>
      </c>
      <c r="X16" s="1">
        <f t="shared" si="8"/>
        <v>1938.4913354624998</v>
      </c>
      <c r="Y16" s="1">
        <f t="shared" si="8"/>
        <v>2035.4159022356248</v>
      </c>
    </row>
    <row r="17" spans="1:171" x14ac:dyDescent="0.2">
      <c r="B17" s="1" t="s">
        <v>29</v>
      </c>
      <c r="C17" s="1">
        <f>SUM(C14:C16)</f>
        <v>4213</v>
      </c>
      <c r="D17" s="1">
        <f>SUM(D14:D16)</f>
        <v>4431</v>
      </c>
      <c r="E17" s="1">
        <f>SUM(E14:E16)</f>
        <v>4523</v>
      </c>
      <c r="F17" s="1">
        <f t="shared" ref="F17:L17" si="9">SUM(F14:F16)</f>
        <v>4819</v>
      </c>
      <c r="G17" s="1">
        <f t="shared" si="9"/>
        <v>4692</v>
      </c>
      <c r="H17" s="1">
        <f t="shared" si="9"/>
        <v>4713</v>
      </c>
      <c r="I17" s="1">
        <f t="shared" si="9"/>
        <v>4620</v>
      </c>
      <c r="J17" s="1">
        <f t="shared" si="9"/>
        <v>4882</v>
      </c>
      <c r="K17" s="1">
        <f t="shared" si="9"/>
        <v>4473</v>
      </c>
      <c r="L17" s="1">
        <f t="shared" si="9"/>
        <v>4857</v>
      </c>
      <c r="M17" s="1">
        <f t="shared" ref="M17" si="10">SUM(M14:M16)</f>
        <v>4715.67</v>
      </c>
      <c r="N17" s="1">
        <f t="shared" ref="N17:Q17" si="11">SUM(N14:N16)</f>
        <v>4857.1401000000005</v>
      </c>
      <c r="P17" s="1">
        <f t="shared" si="11"/>
        <v>0</v>
      </c>
      <c r="Q17" s="1">
        <f t="shared" si="11"/>
        <v>0</v>
      </c>
      <c r="R17" s="1">
        <f>SUM(R14:R16)</f>
        <v>15865</v>
      </c>
      <c r="S17" s="1">
        <f>SUM(S14:S16)</f>
        <v>17986</v>
      </c>
      <c r="T17" s="1">
        <f>SUM(T14:T16)</f>
        <v>18907</v>
      </c>
      <c r="U17" s="1">
        <f>SUM(U14:U16)</f>
        <v>18902.810100000002</v>
      </c>
      <c r="V17" s="1">
        <f t="shared" ref="V17:Y17" si="12">SUM(V14:V16)</f>
        <v>19847.950605000002</v>
      </c>
      <c r="W17" s="1">
        <f t="shared" si="12"/>
        <v>20840.348135250002</v>
      </c>
      <c r="X17" s="1">
        <f t="shared" si="12"/>
        <v>21882.3655420125</v>
      </c>
      <c r="Y17" s="1">
        <f t="shared" si="12"/>
        <v>22976.483819113128</v>
      </c>
    </row>
    <row r="18" spans="1:171" x14ac:dyDescent="0.2">
      <c r="B18" s="1" t="s">
        <v>30</v>
      </c>
      <c r="C18" s="1">
        <f>C13-C17</f>
        <v>2827</v>
      </c>
      <c r="D18" s="1">
        <f>D13-D17</f>
        <v>2856</v>
      </c>
      <c r="E18" s="1">
        <f>E13-E17</f>
        <v>2895</v>
      </c>
      <c r="F18" s="1">
        <f t="shared" ref="F18:L18" si="13">F13-F17</f>
        <v>3207</v>
      </c>
      <c r="G18" s="1">
        <f t="shared" si="13"/>
        <v>3007</v>
      </c>
      <c r="H18" s="1">
        <f t="shared" si="13"/>
        <v>3172</v>
      </c>
      <c r="I18" s="1">
        <f t="shared" si="13"/>
        <v>3227</v>
      </c>
      <c r="J18" s="1">
        <f t="shared" si="13"/>
        <v>3484</v>
      </c>
      <c r="K18" s="1">
        <f t="shared" si="13"/>
        <v>3318</v>
      </c>
      <c r="L18" s="1">
        <f t="shared" si="13"/>
        <v>3431</v>
      </c>
      <c r="M18" s="1">
        <f t="shared" ref="M18" si="14">M13-M17</f>
        <v>3820.9699999999993</v>
      </c>
      <c r="N18" s="1">
        <f t="shared" ref="N18:Q18" si="15">N13-N17</f>
        <v>3935.5990999999995</v>
      </c>
      <c r="P18" s="1">
        <f t="shared" si="15"/>
        <v>0</v>
      </c>
      <c r="Q18" s="1">
        <f t="shared" si="15"/>
        <v>0</v>
      </c>
      <c r="R18" s="1">
        <f>R13-R17</f>
        <v>11653</v>
      </c>
      <c r="S18" s="1">
        <f t="shared" ref="S18:Y18" si="16">S13-S17</f>
        <v>11785</v>
      </c>
      <c r="T18" s="1">
        <f t="shared" si="16"/>
        <v>12890</v>
      </c>
      <c r="U18" s="1">
        <f t="shared" si="16"/>
        <v>14505.569099999993</v>
      </c>
      <c r="V18" s="1">
        <f t="shared" si="16"/>
        <v>15230.847554999997</v>
      </c>
      <c r="W18" s="1">
        <f t="shared" si="16"/>
        <v>15992.389932749997</v>
      </c>
      <c r="X18" s="1">
        <f t="shared" si="16"/>
        <v>16792.009429387501</v>
      </c>
      <c r="Y18" s="1">
        <f t="shared" si="16"/>
        <v>17631.609900856878</v>
      </c>
    </row>
    <row r="19" spans="1:171" x14ac:dyDescent="0.2">
      <c r="B19" s="1" t="s">
        <v>15</v>
      </c>
      <c r="C19" s="1">
        <v>436</v>
      </c>
      <c r="D19" s="1">
        <v>465</v>
      </c>
      <c r="E19" s="1">
        <v>442</v>
      </c>
      <c r="F19" s="1">
        <v>466</v>
      </c>
      <c r="G19" s="1">
        <v>421</v>
      </c>
      <c r="H19" s="1">
        <v>446</v>
      </c>
      <c r="I19" s="1">
        <v>508</v>
      </c>
      <c r="J19" s="1">
        <v>626</v>
      </c>
      <c r="K19" s="1">
        <v>488</v>
      </c>
      <c r="L19" s="1">
        <v>583</v>
      </c>
      <c r="M19" s="1">
        <f t="shared" ref="M19:N19" si="17">L19*(1+M33)</f>
        <v>600.49</v>
      </c>
      <c r="N19" s="1">
        <f t="shared" si="17"/>
        <v>618.50470000000007</v>
      </c>
      <c r="R19" s="1">
        <v>2257</v>
      </c>
      <c r="S19" s="1">
        <v>1809</v>
      </c>
      <c r="T19" s="1">
        <v>2001</v>
      </c>
      <c r="U19" s="1">
        <f>SUM(K19:N19)</f>
        <v>2289.9947000000002</v>
      </c>
      <c r="V19" s="1">
        <f t="shared" ref="V19:Y19" si="18">U19*(1+V32)</f>
        <v>2404.4944350000005</v>
      </c>
      <c r="W19" s="1">
        <f t="shared" si="18"/>
        <v>2524.7191567500008</v>
      </c>
      <c r="X19" s="1">
        <f t="shared" si="18"/>
        <v>2650.9551145875012</v>
      </c>
      <c r="Y19" s="1">
        <f t="shared" si="18"/>
        <v>2783.5028703168764</v>
      </c>
    </row>
    <row r="20" spans="1:171" x14ac:dyDescent="0.2">
      <c r="B20" s="1" t="s">
        <v>16</v>
      </c>
      <c r="C20" s="1">
        <v>721</v>
      </c>
      <c r="D20" s="1">
        <v>743</v>
      </c>
      <c r="E20" s="1">
        <v>739</v>
      </c>
      <c r="F20" s="1">
        <v>770</v>
      </c>
      <c r="G20" s="1">
        <v>742</v>
      </c>
      <c r="H20" s="1">
        <v>718</v>
      </c>
      <c r="I20" s="1">
        <v>746</v>
      </c>
      <c r="J20" s="1">
        <v>773</v>
      </c>
      <c r="K20" s="1">
        <v>731</v>
      </c>
      <c r="L20" s="1">
        <v>767</v>
      </c>
      <c r="M20" s="1">
        <f t="shared" ref="M20:N20" si="19">L20*(1+M33)</f>
        <v>790.01</v>
      </c>
      <c r="N20" s="1">
        <f t="shared" si="19"/>
        <v>813.71029999999996</v>
      </c>
      <c r="R20" s="1">
        <v>3253</v>
      </c>
      <c r="S20" s="1">
        <v>2973</v>
      </c>
      <c r="T20" s="1">
        <v>2979</v>
      </c>
      <c r="U20" s="1">
        <f>SUM(K20:N20)</f>
        <v>3101.7203</v>
      </c>
      <c r="V20" s="1">
        <f t="shared" ref="V20:Y20" si="20">U20*(1+V32)</f>
        <v>3256.8063150000003</v>
      </c>
      <c r="W20" s="1">
        <f t="shared" si="20"/>
        <v>3419.6466307500004</v>
      </c>
      <c r="X20" s="1">
        <f t="shared" si="20"/>
        <v>3590.6289622875006</v>
      </c>
      <c r="Y20" s="1">
        <f t="shared" si="20"/>
        <v>3770.1604104018757</v>
      </c>
    </row>
    <row r="21" spans="1:171" x14ac:dyDescent="0.2">
      <c r="B21" s="1" t="s">
        <v>17</v>
      </c>
      <c r="C21" s="1">
        <v>507</v>
      </c>
      <c r="D21" s="1">
        <v>491</v>
      </c>
      <c r="E21" s="1">
        <v>507</v>
      </c>
      <c r="F21" s="1">
        <v>554</v>
      </c>
      <c r="G21" s="1">
        <v>464</v>
      </c>
      <c r="H21" s="1">
        <v>570</v>
      </c>
      <c r="I21" s="1">
        <v>519</v>
      </c>
      <c r="J21" s="1">
        <v>594</v>
      </c>
      <c r="K21" s="1">
        <v>503</v>
      </c>
      <c r="L21" s="1">
        <v>461</v>
      </c>
      <c r="M21" s="1">
        <f t="shared" ref="M21:N21" si="21">L21*(1+M33)</f>
        <v>474.83</v>
      </c>
      <c r="N21" s="1">
        <f t="shared" si="21"/>
        <v>489.07490000000001</v>
      </c>
      <c r="R21" s="1">
        <v>2099</v>
      </c>
      <c r="S21" s="1">
        <v>2059</v>
      </c>
      <c r="T21" s="1">
        <v>2147</v>
      </c>
      <c r="U21" s="1">
        <f>SUM(K21:N21)</f>
        <v>1927.9049</v>
      </c>
      <c r="V21" s="1">
        <f t="shared" ref="V21:Y21" si="22">U21*(1+V32)</f>
        <v>2024.3001450000002</v>
      </c>
      <c r="W21" s="1">
        <f t="shared" si="22"/>
        <v>2125.51515225</v>
      </c>
      <c r="X21" s="1">
        <f t="shared" si="22"/>
        <v>2231.7909098625</v>
      </c>
      <c r="Y21" s="1">
        <f t="shared" si="22"/>
        <v>2343.3804553556251</v>
      </c>
    </row>
    <row r="22" spans="1:171" x14ac:dyDescent="0.2">
      <c r="B22" s="12" t="s">
        <v>73</v>
      </c>
      <c r="C22" s="1">
        <v>164</v>
      </c>
      <c r="D22" s="1">
        <v>24</v>
      </c>
      <c r="E22" s="1">
        <v>39</v>
      </c>
      <c r="F22" s="1">
        <v>-311</v>
      </c>
      <c r="G22" s="1">
        <v>212</v>
      </c>
      <c r="H22" s="1">
        <v>113</v>
      </c>
      <c r="I22" s="1">
        <v>63</v>
      </c>
      <c r="J22" s="1">
        <v>50</v>
      </c>
      <c r="K22" s="1">
        <v>66</v>
      </c>
      <c r="L22" s="1">
        <v>116</v>
      </c>
      <c r="M22" s="1">
        <f t="shared" ref="M22:N22" si="23">L22*(1+M33)</f>
        <v>119.48</v>
      </c>
      <c r="N22" s="1">
        <f t="shared" si="23"/>
        <v>123.06440000000001</v>
      </c>
      <c r="R22" s="1">
        <v>207</v>
      </c>
      <c r="S22" s="1">
        <v>-84</v>
      </c>
      <c r="T22" s="1">
        <v>438</v>
      </c>
      <c r="U22" s="1">
        <f>SUM(K22:N22)</f>
        <v>424.5444</v>
      </c>
      <c r="V22" s="1">
        <f t="shared" ref="V22:Y22" si="24">U22*(1+V32)</f>
        <v>445.77162000000004</v>
      </c>
      <c r="W22" s="1">
        <f t="shared" si="24"/>
        <v>468.06020100000006</v>
      </c>
      <c r="X22" s="1">
        <f t="shared" si="24"/>
        <v>491.4632110500001</v>
      </c>
      <c r="Y22" s="1">
        <f t="shared" si="24"/>
        <v>516.03637160250014</v>
      </c>
    </row>
    <row r="23" spans="1:171" x14ac:dyDescent="0.2">
      <c r="B23" s="12" t="s">
        <v>74</v>
      </c>
      <c r="C23" s="1">
        <f>SUM(C19:C22)</f>
        <v>1828</v>
      </c>
      <c r="D23" s="1">
        <f t="shared" ref="D23:L23" si="25">SUM(D19:D22)</f>
        <v>1723</v>
      </c>
      <c r="E23" s="1">
        <f t="shared" si="25"/>
        <v>1727</v>
      </c>
      <c r="F23" s="1">
        <f t="shared" si="25"/>
        <v>1479</v>
      </c>
      <c r="G23" s="1">
        <f t="shared" si="25"/>
        <v>1839</v>
      </c>
      <c r="H23" s="1">
        <f t="shared" si="25"/>
        <v>1847</v>
      </c>
      <c r="I23" s="1">
        <f t="shared" si="25"/>
        <v>1836</v>
      </c>
      <c r="J23" s="1">
        <f t="shared" si="25"/>
        <v>2043</v>
      </c>
      <c r="K23" s="1">
        <f t="shared" si="25"/>
        <v>1788</v>
      </c>
      <c r="L23" s="1">
        <f t="shared" si="25"/>
        <v>1927</v>
      </c>
      <c r="M23" s="1">
        <f t="shared" ref="M23" si="26">SUM(M19:M22)</f>
        <v>1984.81</v>
      </c>
      <c r="N23" s="1">
        <f t="shared" ref="N23:Q23" si="27">SUM(N19:N22)</f>
        <v>2044.3543000000002</v>
      </c>
      <c r="P23" s="1">
        <f t="shared" si="27"/>
        <v>0</v>
      </c>
      <c r="Q23" s="1">
        <f t="shared" si="27"/>
        <v>0</v>
      </c>
      <c r="R23" s="1">
        <f>SUM(R19:R22)</f>
        <v>7816</v>
      </c>
      <c r="S23" s="1">
        <f t="shared" ref="S23:Y23" si="28">SUM(S19:S22)</f>
        <v>6757</v>
      </c>
      <c r="T23" s="1">
        <f t="shared" si="28"/>
        <v>7565</v>
      </c>
      <c r="U23" s="1">
        <f t="shared" si="28"/>
        <v>7744.1642999999995</v>
      </c>
      <c r="V23" s="1">
        <f t="shared" si="28"/>
        <v>8131.3725150000009</v>
      </c>
      <c r="W23" s="1">
        <f t="shared" si="28"/>
        <v>8537.9411407500011</v>
      </c>
      <c r="X23" s="1">
        <f t="shared" si="28"/>
        <v>8964.8381977875033</v>
      </c>
      <c r="Y23" s="1">
        <f t="shared" si="28"/>
        <v>9413.0801076768785</v>
      </c>
    </row>
    <row r="24" spans="1:171" s="12" customFormat="1" x14ac:dyDescent="0.2">
      <c r="A24" s="3"/>
      <c r="B24" s="12" t="s">
        <v>18</v>
      </c>
      <c r="C24" s="12">
        <f>C18-C23</f>
        <v>999</v>
      </c>
      <c r="D24" s="12">
        <f t="shared" ref="D24:L24" si="29">D18-D23</f>
        <v>1133</v>
      </c>
      <c r="E24" s="12">
        <f t="shared" si="29"/>
        <v>1168</v>
      </c>
      <c r="F24" s="12">
        <f t="shared" si="29"/>
        <v>1728</v>
      </c>
      <c r="G24" s="12">
        <f t="shared" si="29"/>
        <v>1168</v>
      </c>
      <c r="H24" s="12">
        <f t="shared" si="29"/>
        <v>1325</v>
      </c>
      <c r="I24" s="12">
        <f t="shared" si="29"/>
        <v>1391</v>
      </c>
      <c r="J24" s="12">
        <f t="shared" si="29"/>
        <v>1441</v>
      </c>
      <c r="K24" s="12">
        <f t="shared" si="29"/>
        <v>1530</v>
      </c>
      <c r="L24" s="12">
        <f t="shared" si="29"/>
        <v>1504</v>
      </c>
      <c r="M24" s="12">
        <f t="shared" ref="M24" si="30">M18-M23</f>
        <v>1836.1599999999994</v>
      </c>
      <c r="N24" s="12">
        <f t="shared" ref="N24:Q24" si="31">N18-N23</f>
        <v>1891.2447999999993</v>
      </c>
      <c r="P24" s="12">
        <f t="shared" si="31"/>
        <v>0</v>
      </c>
      <c r="Q24" s="12">
        <f t="shared" si="31"/>
        <v>0</v>
      </c>
      <c r="R24" s="12">
        <f>R18-R23</f>
        <v>3837</v>
      </c>
      <c r="S24" s="12">
        <f t="shared" ref="S24:T24" si="32">S18-S23</f>
        <v>5028</v>
      </c>
      <c r="T24" s="12">
        <f t="shared" si="32"/>
        <v>5325</v>
      </c>
      <c r="U24" s="12">
        <f t="shared" ref="U24:Y24" si="33">U18-U23</f>
        <v>6761.4047999999939</v>
      </c>
      <c r="V24" s="12">
        <f t="shared" si="33"/>
        <v>7099.4750399999957</v>
      </c>
      <c r="W24" s="12">
        <f t="shared" si="33"/>
        <v>7454.4487919999956</v>
      </c>
      <c r="X24" s="12">
        <f t="shared" si="33"/>
        <v>7827.1712315999976</v>
      </c>
      <c r="Y24" s="12">
        <f t="shared" si="33"/>
        <v>8218.5297931799996</v>
      </c>
    </row>
    <row r="25" spans="1:171" x14ac:dyDescent="0.2">
      <c r="B25" s="1" t="s">
        <v>43</v>
      </c>
      <c r="C25" s="1">
        <v>75</v>
      </c>
      <c r="D25" s="1">
        <v>170</v>
      </c>
      <c r="E25" s="1">
        <v>73</v>
      </c>
      <c r="F25" s="1">
        <v>65</v>
      </c>
      <c r="G25" s="1">
        <v>41</v>
      </c>
      <c r="H25" s="1">
        <v>74</v>
      </c>
      <c r="I25" s="1">
        <v>-80</v>
      </c>
      <c r="J25" s="1">
        <v>-31</v>
      </c>
      <c r="K25" s="1">
        <v>73</v>
      </c>
      <c r="L25" s="1">
        <v>25</v>
      </c>
      <c r="M25" s="1">
        <f>L38*$AB$30/4</f>
        <v>11.785</v>
      </c>
      <c r="N25" s="1">
        <f>M38*$AB$30/4</f>
        <v>19.269177249999998</v>
      </c>
      <c r="R25" s="1">
        <v>-471</v>
      </c>
      <c r="S25" s="1">
        <v>383</v>
      </c>
      <c r="T25" s="1">
        <v>4</v>
      </c>
      <c r="U25" s="1">
        <f>SUM(K25:N25)</f>
        <v>129.05417725000001</v>
      </c>
      <c r="V25" s="1">
        <f>U38*$AB$30</f>
        <v>108.02703543144999</v>
      </c>
      <c r="W25" s="1">
        <f>V38*$AB$30</f>
        <v>223.34706863835314</v>
      </c>
      <c r="X25" s="1">
        <f>W38*$AB$30</f>
        <v>346.19180240856673</v>
      </c>
      <c r="Y25" s="1">
        <f>X38*$AB$30</f>
        <v>476.96561095270374</v>
      </c>
    </row>
    <row r="26" spans="1:171" x14ac:dyDescent="0.2">
      <c r="B26" s="1" t="s">
        <v>19</v>
      </c>
      <c r="C26" s="1">
        <f>C24+C25</f>
        <v>1074</v>
      </c>
      <c r="D26" s="1">
        <f t="shared" ref="D26:L26" si="34">D24+D25</f>
        <v>1303</v>
      </c>
      <c r="E26" s="1">
        <f t="shared" si="34"/>
        <v>1241</v>
      </c>
      <c r="F26" s="1">
        <f t="shared" si="34"/>
        <v>1793</v>
      </c>
      <c r="G26" s="1">
        <f t="shared" si="34"/>
        <v>1209</v>
      </c>
      <c r="H26" s="1">
        <f t="shared" si="34"/>
        <v>1399</v>
      </c>
      <c r="I26" s="1">
        <f t="shared" si="34"/>
        <v>1311</v>
      </c>
      <c r="J26" s="1">
        <f t="shared" si="34"/>
        <v>1410</v>
      </c>
      <c r="K26" s="1">
        <f t="shared" si="34"/>
        <v>1603</v>
      </c>
      <c r="L26" s="1">
        <f t="shared" si="34"/>
        <v>1529</v>
      </c>
      <c r="M26" s="1">
        <f t="shared" ref="M26" si="35">M24+M25</f>
        <v>1847.9449999999995</v>
      </c>
      <c r="N26" s="1">
        <f t="shared" ref="N26:Q26" si="36">N24+N25</f>
        <v>1910.5139772499992</v>
      </c>
      <c r="P26" s="1">
        <f t="shared" si="36"/>
        <v>0</v>
      </c>
      <c r="Q26" s="1">
        <f t="shared" si="36"/>
        <v>0</v>
      </c>
      <c r="R26" s="1">
        <f>R24+R25</f>
        <v>3366</v>
      </c>
      <c r="S26" s="1">
        <f t="shared" ref="S26:T26" si="37">S24+S25</f>
        <v>5411</v>
      </c>
      <c r="T26" s="1">
        <f t="shared" si="37"/>
        <v>5329</v>
      </c>
      <c r="U26" s="1">
        <f t="shared" ref="U26" si="38">U24+U25</f>
        <v>6890.4589772499939</v>
      </c>
      <c r="V26" s="1">
        <f t="shared" ref="V26" si="39">V24+V25</f>
        <v>7207.5020754314455</v>
      </c>
      <c r="W26" s="1">
        <f t="shared" ref="W26" si="40">W24+W25</f>
        <v>7677.795860638349</v>
      </c>
      <c r="X26" s="1">
        <f t="shared" ref="X26" si="41">X24+X25</f>
        <v>8173.3630340085647</v>
      </c>
      <c r="Y26" s="1">
        <f t="shared" ref="Y26" si="42">Y24+Y25</f>
        <v>8695.4954041327037</v>
      </c>
    </row>
    <row r="27" spans="1:171" x14ac:dyDescent="0.2">
      <c r="B27" s="1" t="s">
        <v>20</v>
      </c>
      <c r="C27" s="1">
        <v>279</v>
      </c>
      <c r="D27" s="1">
        <v>274</v>
      </c>
      <c r="E27" s="1">
        <v>221</v>
      </c>
      <c r="F27" s="1">
        <v>391</v>
      </c>
      <c r="G27" s="1">
        <v>321</v>
      </c>
      <c r="H27" s="1">
        <v>271</v>
      </c>
      <c r="I27" s="1">
        <v>301</v>
      </c>
      <c r="J27" s="1">
        <v>289</v>
      </c>
      <c r="K27" s="1">
        <v>316</v>
      </c>
      <c r="L27" s="1">
        <v>268</v>
      </c>
      <c r="M27" s="1">
        <f>M26*0.19</f>
        <v>351.1095499999999</v>
      </c>
      <c r="N27" s="1">
        <f>N26*0.19</f>
        <v>362.99765567749984</v>
      </c>
      <c r="R27" s="1">
        <v>947</v>
      </c>
      <c r="S27" s="1">
        <v>1165</v>
      </c>
      <c r="T27" s="1">
        <v>1182</v>
      </c>
      <c r="U27" s="1">
        <f>SUM(K27:N27)</f>
        <v>1298.1072056774997</v>
      </c>
      <c r="V27" s="1">
        <f t="shared" ref="V27:Y27" si="43">V26*0.2</f>
        <v>1441.5004150862892</v>
      </c>
      <c r="W27" s="1">
        <f t="shared" si="43"/>
        <v>1535.5591721276699</v>
      </c>
      <c r="X27" s="1">
        <f t="shared" si="43"/>
        <v>1634.6726068017131</v>
      </c>
      <c r="Y27" s="1">
        <f t="shared" si="43"/>
        <v>1739.0990808265408</v>
      </c>
    </row>
    <row r="28" spans="1:171" s="12" customFormat="1" x14ac:dyDescent="0.2">
      <c r="A28" s="3"/>
      <c r="B28" s="12" t="s">
        <v>21</v>
      </c>
      <c r="C28" s="12">
        <f>C26-C27</f>
        <v>795</v>
      </c>
      <c r="D28" s="12">
        <f t="shared" ref="D28:K28" si="44">D26-D27</f>
        <v>1029</v>
      </c>
      <c r="E28" s="12">
        <f t="shared" si="44"/>
        <v>1020</v>
      </c>
      <c r="F28" s="12">
        <f t="shared" si="44"/>
        <v>1402</v>
      </c>
      <c r="G28" s="12">
        <f t="shared" si="44"/>
        <v>888</v>
      </c>
      <c r="H28" s="12">
        <f t="shared" si="44"/>
        <v>1128</v>
      </c>
      <c r="I28" s="12">
        <f t="shared" si="44"/>
        <v>1010</v>
      </c>
      <c r="J28" s="12">
        <f t="shared" si="44"/>
        <v>1121</v>
      </c>
      <c r="K28" s="12">
        <f t="shared" si="44"/>
        <v>1287</v>
      </c>
      <c r="L28" s="12">
        <f t="shared" ref="L28:M28" si="45">L26-L27</f>
        <v>1261</v>
      </c>
      <c r="M28" s="12">
        <f t="shared" si="45"/>
        <v>1496.8354499999996</v>
      </c>
      <c r="N28" s="12">
        <f t="shared" ref="N28:Q28" si="46">N26-N27</f>
        <v>1547.5163215724995</v>
      </c>
      <c r="P28" s="12">
        <f t="shared" si="46"/>
        <v>0</v>
      </c>
      <c r="Q28" s="12">
        <f t="shared" si="46"/>
        <v>0</v>
      </c>
      <c r="R28" s="12">
        <f>R26-R27</f>
        <v>2419</v>
      </c>
      <c r="S28" s="12">
        <f t="shared" ref="S28:T28" si="47">S26-S27</f>
        <v>4246</v>
      </c>
      <c r="T28" s="12">
        <f t="shared" si="47"/>
        <v>4147</v>
      </c>
      <c r="U28" s="12">
        <f t="shared" ref="U28" si="48">U26-U27</f>
        <v>5592.3517715724938</v>
      </c>
      <c r="V28" s="12">
        <f t="shared" ref="V28" si="49">V26-V27</f>
        <v>5766.0016603451568</v>
      </c>
      <c r="W28" s="12">
        <f t="shared" ref="W28" si="50">W26-W27</f>
        <v>6142.2366885106794</v>
      </c>
      <c r="X28" s="12">
        <f t="shared" ref="X28" si="51">X26-X27</f>
        <v>6538.6904272068514</v>
      </c>
      <c r="Y28" s="12">
        <f t="shared" ref="Y28" si="52">Y26-Y27</f>
        <v>6956.3963233061631</v>
      </c>
      <c r="Z28" s="12">
        <f>Y28*(1+$AB$31)</f>
        <v>7025.9602865392244</v>
      </c>
      <c r="AA28" s="12">
        <f>Z28*(1+$AB$31)</f>
        <v>7096.2198894046169</v>
      </c>
      <c r="AB28" s="12">
        <f>AA28*(1+$AB$31)</f>
        <v>7167.1820882986631</v>
      </c>
      <c r="AC28" s="12">
        <f>AB28*(1+$AB$31)</f>
        <v>7238.8539091816501</v>
      </c>
      <c r="AD28" s="12">
        <f>AC28*(1+$AB$31)</f>
        <v>7311.2424482734668</v>
      </c>
      <c r="AE28" s="12">
        <f>AD28*(1+$AB$31)</f>
        <v>7384.354872756202</v>
      </c>
      <c r="AF28" s="12">
        <f>AE28*(1+$AB$31)</f>
        <v>7458.1984214837639</v>
      </c>
      <c r="AG28" s="12">
        <f>AF28*(1+$AB$31)</f>
        <v>7532.7804056986015</v>
      </c>
      <c r="AH28" s="12">
        <f>AG28*(1+$AB$31)</f>
        <v>7608.1082097555873</v>
      </c>
      <c r="AI28" s="12">
        <f>AH28*(1+$AB$31)</f>
        <v>7684.189291853143</v>
      </c>
      <c r="AJ28" s="12">
        <f>AI28*(1+$AB$31)</f>
        <v>7761.0311847716748</v>
      </c>
      <c r="AK28" s="12">
        <f>AJ28*(1+$AB$31)</f>
        <v>7838.6414966193915</v>
      </c>
      <c r="AL28" s="12">
        <f>AK28*(1+$AB$31)</f>
        <v>7917.0279115855856</v>
      </c>
      <c r="AM28" s="12">
        <f>AL28*(1+$AB$31)</f>
        <v>7996.1981907014415</v>
      </c>
      <c r="AN28" s="12">
        <f>AM28*(1+$AB$31)</f>
        <v>8076.1601726084564</v>
      </c>
      <c r="AO28" s="12">
        <f>AN28*(1+$AB$31)</f>
        <v>8156.9217743345407</v>
      </c>
      <c r="AP28" s="12">
        <f>AO28*(1+$AB$31)</f>
        <v>8238.4909920778864</v>
      </c>
      <c r="AQ28" s="12">
        <f>AP28*(1+$AB$31)</f>
        <v>8320.8759019986646</v>
      </c>
      <c r="AR28" s="12">
        <f>AQ28*(1+$AB$31)</f>
        <v>8404.0846610186509</v>
      </c>
      <c r="AS28" s="12">
        <f>AR28*(1+$AB$31)</f>
        <v>8488.125507628838</v>
      </c>
      <c r="AT28" s="12">
        <f>AS28*(1+$AB$31)</f>
        <v>8573.0067627051267</v>
      </c>
      <c r="AU28" s="12">
        <f>AT28*(1+$AB$31)</f>
        <v>8658.7368303321782</v>
      </c>
      <c r="AV28" s="12">
        <f>AU28*(1+$AB$31)</f>
        <v>8745.3241986355006</v>
      </c>
      <c r="AW28" s="12">
        <f>AV28*(1+$AB$31)</f>
        <v>8832.7774406218559</v>
      </c>
      <c r="AX28" s="12">
        <f>AW28*(1+$AB$31)</f>
        <v>8921.1052150280739</v>
      </c>
      <c r="AY28" s="12">
        <f>AX28*(1+$AB$31)</f>
        <v>9010.3162671783539</v>
      </c>
      <c r="AZ28" s="12">
        <f>AY28*(1+$AB$31)</f>
        <v>9100.419429850137</v>
      </c>
      <c r="BA28" s="12">
        <f>AZ28*(1+$AB$31)</f>
        <v>9191.4236241486378</v>
      </c>
      <c r="BB28" s="12">
        <f>BA28*(1+$AB$31)</f>
        <v>9283.3378603901238</v>
      </c>
      <c r="BC28" s="12">
        <f>BB28*(1+$AB$31)</f>
        <v>9376.1712389940258</v>
      </c>
      <c r="BD28" s="12">
        <f>BC28*(1+$AB$31)</f>
        <v>9469.9329513839657</v>
      </c>
      <c r="BE28" s="12">
        <f>BD28*(1+$AB$31)</f>
        <v>9564.6322808978057</v>
      </c>
      <c r="BF28" s="12">
        <f>BE28*(1+$AB$31)</f>
        <v>9660.2786037067835</v>
      </c>
      <c r="BG28" s="12">
        <f>BF28*(1+$AB$31)</f>
        <v>9756.8813897438522</v>
      </c>
      <c r="BH28" s="12">
        <f>BG28*(1+$AB$31)</f>
        <v>9854.4502036412905</v>
      </c>
      <c r="BI28" s="12">
        <f>BH28*(1+$AB$31)</f>
        <v>9952.9947056777037</v>
      </c>
      <c r="BJ28" s="12">
        <f>BI28*(1+$AB$31)</f>
        <v>10052.524652734481</v>
      </c>
      <c r="BK28" s="12">
        <f>BJ28*(1+$AB$31)</f>
        <v>10153.049899261825</v>
      </c>
      <c r="BL28" s="12">
        <f>BK28*(1+$AB$31)</f>
        <v>10254.580398254444</v>
      </c>
      <c r="BM28" s="12">
        <f>BL28*(1+$AB$31)</f>
        <v>10357.126202236988</v>
      </c>
      <c r="BN28" s="12">
        <f>BM28*(1+$AB$31)</f>
        <v>10460.697464259358</v>
      </c>
      <c r="BO28" s="12">
        <f>BN28*(1+$AB$31)</f>
        <v>10565.304438901951</v>
      </c>
      <c r="BP28" s="12">
        <f>BO28*(1+$AB$31)</f>
        <v>10670.957483290969</v>
      </c>
      <c r="BQ28" s="12">
        <f>BP28*(1+$AB$31)</f>
        <v>10777.66705812388</v>
      </c>
      <c r="BR28" s="12">
        <f>BQ28*(1+$AB$31)</f>
        <v>10885.443728705119</v>
      </c>
      <c r="BS28" s="12">
        <f>BR28*(1+$AB$31)</f>
        <v>10994.29816599217</v>
      </c>
      <c r="BT28" s="12">
        <f>BS28*(1+$AB$31)</f>
        <v>11104.241147652092</v>
      </c>
      <c r="BU28" s="12">
        <f>BT28*(1+$AB$31)</f>
        <v>11215.283559128613</v>
      </c>
      <c r="BV28" s="12">
        <f>BU28*(1+$AB$31)</f>
        <v>11327.4363947199</v>
      </c>
      <c r="BW28" s="12">
        <f>BV28*(1+$AB$31)</f>
        <v>11440.710758667099</v>
      </c>
      <c r="BX28" s="12">
        <f>BW28*(1+$AB$31)</f>
        <v>11555.11786625377</v>
      </c>
      <c r="BY28" s="12">
        <f>BX28*(1+$AB$31)</f>
        <v>11670.669044916307</v>
      </c>
      <c r="BZ28" s="12">
        <f>BY28*(1+$AB$31)</f>
        <v>11787.375735365471</v>
      </c>
      <c r="CA28" s="12">
        <f>BZ28*(1+$AB$31)</f>
        <v>11905.249492719126</v>
      </c>
      <c r="CB28" s="12">
        <f>CA28*(1+$AB$31)</f>
        <v>12024.301987646317</v>
      </c>
      <c r="CC28" s="12">
        <f>CB28*(1+$AB$31)</f>
        <v>12144.54500752278</v>
      </c>
      <c r="CD28" s="12">
        <f>CC28*(1+$AB$31)</f>
        <v>12265.990457598007</v>
      </c>
      <c r="CE28" s="12">
        <f>CD28*(1+$AB$31)</f>
        <v>12388.650362173987</v>
      </c>
      <c r="CF28" s="12">
        <f>CE28*(1+$AB$31)</f>
        <v>12512.536865795726</v>
      </c>
      <c r="CG28" s="12">
        <f>CF28*(1+$AB$31)</f>
        <v>12637.662234453683</v>
      </c>
      <c r="CH28" s="12">
        <f>CG28*(1+$AB$31)</f>
        <v>12764.038856798219</v>
      </c>
      <c r="CI28" s="12">
        <f>CH28*(1+$AB$31)</f>
        <v>12891.679245366202</v>
      </c>
      <c r="CJ28" s="12">
        <f>CI28*(1+$AB$31)</f>
        <v>13020.596037819863</v>
      </c>
      <c r="CK28" s="12">
        <f>CJ28*(1+$AB$31)</f>
        <v>13150.801998198061</v>
      </c>
      <c r="CL28" s="12">
        <f>CK28*(1+$AB$31)</f>
        <v>13282.310018180042</v>
      </c>
      <c r="CM28" s="12">
        <f>CL28*(1+$AB$31)</f>
        <v>13415.133118361842</v>
      </c>
      <c r="CN28" s="12">
        <f>CM28*(1+$AB$31)</f>
        <v>13549.284449545461</v>
      </c>
      <c r="CO28" s="12">
        <f>CN28*(1+$AB$31)</f>
        <v>13684.777294040916</v>
      </c>
      <c r="CP28" s="12">
        <f>CO28*(1+$AB$31)</f>
        <v>13821.625066981325</v>
      </c>
      <c r="CQ28" s="12">
        <f>CP28*(1+$AB$31)</f>
        <v>13959.841317651139</v>
      </c>
      <c r="CR28" s="12">
        <f>CQ28*(1+$AB$31)</f>
        <v>14099.439730827649</v>
      </c>
      <c r="CS28" s="12">
        <f>CR28*(1+$AB$31)</f>
        <v>14240.434128135927</v>
      </c>
      <c r="CT28" s="12">
        <f>CS28*(1+$AB$31)</f>
        <v>14382.838469417286</v>
      </c>
      <c r="CU28" s="12">
        <f>CT28*(1+$AB$31)</f>
        <v>14526.666854111458</v>
      </c>
      <c r="CV28" s="12">
        <f>CU28*(1+$AB$31)</f>
        <v>14671.933522652573</v>
      </c>
      <c r="CW28" s="12">
        <f>CV28*(1+$AB$31)</f>
        <v>14818.652857879099</v>
      </c>
      <c r="CX28" s="12">
        <f>CW28*(1+$AB$31)</f>
        <v>14966.83938645789</v>
      </c>
      <c r="CY28" s="12">
        <f>CX28*(1+$AB$31)</f>
        <v>15116.507780322469</v>
      </c>
      <c r="CZ28" s="12">
        <f>CY28*(1+$AB$31)</f>
        <v>15267.672858125694</v>
      </c>
      <c r="DA28" s="12">
        <f>CZ28*(1+$AB$31)</f>
        <v>15420.349586706951</v>
      </c>
      <c r="DB28" s="12">
        <f>DA28*(1+$AB$31)</f>
        <v>15574.553082574021</v>
      </c>
      <c r="DC28" s="12">
        <f>DB28*(1+$AB$31)</f>
        <v>15730.29861339976</v>
      </c>
      <c r="DD28" s="12">
        <f>DC28*(1+$AB$31)</f>
        <v>15887.601599533758</v>
      </c>
      <c r="DE28" s="12">
        <f>DD28*(1+$AB$31)</f>
        <v>16046.477615529097</v>
      </c>
      <c r="DF28" s="12">
        <f>DE28*(1+$AB$31)</f>
        <v>16206.942391684388</v>
      </c>
      <c r="DG28" s="12">
        <f>DF28*(1+$AB$31)</f>
        <v>16369.011815601232</v>
      </c>
      <c r="DH28" s="12">
        <f>DG28*(1+$AB$31)</f>
        <v>16532.701933757246</v>
      </c>
      <c r="DI28" s="12">
        <f>DH28*(1+$AB$31)</f>
        <v>16698.028953094818</v>
      </c>
      <c r="DJ28" s="12">
        <f>DI28*(1+$AB$31)</f>
        <v>16865.009242625765</v>
      </c>
      <c r="DK28" s="12">
        <f>DJ28*(1+$AB$31)</f>
        <v>17033.659335052023</v>
      </c>
      <c r="DL28" s="12">
        <f>DK28*(1+$AB$31)</f>
        <v>17203.995928402543</v>
      </c>
      <c r="DM28" s="12">
        <f>DL28*(1+$AB$31)</f>
        <v>17376.035887686568</v>
      </c>
      <c r="DN28" s="12">
        <f>DM28*(1+$AB$31)</f>
        <v>17549.796246563434</v>
      </c>
      <c r="DO28" s="12">
        <f>DN28*(1+$AB$31)</f>
        <v>17725.294209029067</v>
      </c>
      <c r="DP28" s="12">
        <f>DO28*(1+$AB$31)</f>
        <v>17902.547151119357</v>
      </c>
      <c r="DQ28" s="12">
        <f>DP28*(1+$AB$31)</f>
        <v>18081.572622630552</v>
      </c>
      <c r="DR28" s="12">
        <f>DQ28*(1+$AB$31)</f>
        <v>18262.388348856857</v>
      </c>
      <c r="DS28" s="12">
        <f>DR28*(1+$AB$31)</f>
        <v>18445.012232345427</v>
      </c>
      <c r="DT28" s="12">
        <f>DS28*(1+$AB$31)</f>
        <v>18629.462354668882</v>
      </c>
      <c r="DU28" s="12">
        <f>DT28*(1+$AB$31)</f>
        <v>18815.75697821557</v>
      </c>
      <c r="DV28" s="12">
        <f>DU28*(1+$AB$31)</f>
        <v>19003.914547997727</v>
      </c>
      <c r="DW28" s="12">
        <f>DV28*(1+$AB$31)</f>
        <v>19193.953693477706</v>
      </c>
      <c r="DX28" s="12">
        <f>DW28*(1+$AB$31)</f>
        <v>19385.893230412483</v>
      </c>
      <c r="DY28" s="12">
        <f>DX28*(1+$AB$31)</f>
        <v>19579.752162716606</v>
      </c>
      <c r="DZ28" s="12">
        <f>DY28*(1+$AB$31)</f>
        <v>19775.549684343772</v>
      </c>
      <c r="EA28" s="12">
        <f>DZ28*(1+$AB$31)</f>
        <v>19973.30518118721</v>
      </c>
      <c r="EB28" s="12">
        <f>EA28*(1+$AB$31)</f>
        <v>20173.038232999083</v>
      </c>
      <c r="EC28" s="12">
        <f>EB28*(1+$AB$31)</f>
        <v>20374.768615329074</v>
      </c>
      <c r="ED28" s="12">
        <f>EC28*(1+$AB$31)</f>
        <v>20578.516301482367</v>
      </c>
      <c r="EE28" s="12">
        <f>ED28*(1+$AB$31)</f>
        <v>20784.301464497192</v>
      </c>
      <c r="EF28" s="12">
        <f>EE28*(1+$AB$31)</f>
        <v>20992.144479142164</v>
      </c>
      <c r="EG28" s="12">
        <f>EF28*(1+$AB$31)</f>
        <v>21202.065923933584</v>
      </c>
      <c r="EH28" s="12">
        <f>EG28*(1+$AB$31)</f>
        <v>21414.086583172921</v>
      </c>
      <c r="EI28" s="12">
        <f>EH28*(1+$AB$31)</f>
        <v>21628.227449004651</v>
      </c>
      <c r="EJ28" s="12">
        <f>EI28*(1+$AB$31)</f>
        <v>21844.509723494699</v>
      </c>
      <c r="EK28" s="12">
        <f>EJ28*(1+$AB$31)</f>
        <v>22062.954820729647</v>
      </c>
      <c r="EL28" s="12">
        <f>EK28*(1+$AB$31)</f>
        <v>22283.584368936943</v>
      </c>
      <c r="EM28" s="12">
        <f>EL28*(1+$AB$31)</f>
        <v>22506.420212626312</v>
      </c>
      <c r="EN28" s="12">
        <f>EM28*(1+$AB$31)</f>
        <v>22731.484414752576</v>
      </c>
      <c r="EO28" s="12">
        <f>EN28*(1+$AB$31)</f>
        <v>22958.799258900104</v>
      </c>
      <c r="EP28" s="12">
        <f>EO28*(1+$AB$31)</f>
        <v>23188.387251489105</v>
      </c>
      <c r="EQ28" s="12">
        <f>EP28*(1+$AB$31)</f>
        <v>23420.271124003997</v>
      </c>
      <c r="ER28" s="12">
        <f>EQ28*(1+$AB$31)</f>
        <v>23654.473835244036</v>
      </c>
      <c r="ES28" s="12">
        <f>ER28*(1+$AB$31)</f>
        <v>23891.018573596477</v>
      </c>
      <c r="ET28" s="12">
        <f>ES28*(1+$AB$31)</f>
        <v>24129.928759332441</v>
      </c>
      <c r="EU28" s="12">
        <f>ET28*(1+$AB$31)</f>
        <v>24371.228046925764</v>
      </c>
      <c r="EV28" s="12">
        <f>EU28*(1+$AB$31)</f>
        <v>24614.940327395023</v>
      </c>
      <c r="EW28" s="12">
        <f>EV28*(1+$AB$31)</f>
        <v>24861.089730668973</v>
      </c>
      <c r="EX28" s="12">
        <f>EW28*(1+$AB$31)</f>
        <v>25109.700627975664</v>
      </c>
      <c r="EY28" s="12">
        <f>EX28*(1+$AB$31)</f>
        <v>25360.797634255421</v>
      </c>
      <c r="EZ28" s="12">
        <f>EY28*(1+$AB$31)</f>
        <v>25614.405610597976</v>
      </c>
      <c r="FA28" s="12">
        <f>EZ28*(1+$AB$31)</f>
        <v>25870.549666703955</v>
      </c>
      <c r="FB28" s="12">
        <f>FA28*(1+$AB$31)</f>
        <v>26129.255163370995</v>
      </c>
      <c r="FC28" s="12">
        <f>FB28*(1+$AB$31)</f>
        <v>26390.547715004705</v>
      </c>
      <c r="FD28" s="12">
        <f>FC28*(1+$AB$31)</f>
        <v>26654.453192154753</v>
      </c>
      <c r="FE28" s="12">
        <f>FD28*(1+$AB$31)</f>
        <v>26920.9977240763</v>
      </c>
      <c r="FF28" s="12">
        <f>FE28*(1+$AB$31)</f>
        <v>27190.207701317064</v>
      </c>
      <c r="FG28" s="12">
        <f>FF28*(1+$AB$31)</f>
        <v>27462.109778330236</v>
      </c>
      <c r="FH28" s="12">
        <f>FG28*(1+$AB$31)</f>
        <v>27736.730876113539</v>
      </c>
      <c r="FI28" s="12">
        <f>FH28*(1+$AB$31)</f>
        <v>28014.098184874674</v>
      </c>
      <c r="FJ28" s="12">
        <f>FI28*(1+$AB$31)</f>
        <v>28294.239166723422</v>
      </c>
      <c r="FK28" s="12">
        <f>FJ28*(1+$AB$31)</f>
        <v>28577.181558390657</v>
      </c>
      <c r="FL28" s="12">
        <f>FK28*(1+$AB$31)</f>
        <v>28862.953373974564</v>
      </c>
      <c r="FM28" s="12">
        <f>FL28*(1+$AB$31)</f>
        <v>29151.58290771431</v>
      </c>
      <c r="FN28" s="12">
        <f>FM28*(1+$AB$31)</f>
        <v>29443.098736791453</v>
      </c>
      <c r="FO28" s="12">
        <f>FN28*(1+$AB$31)</f>
        <v>29737.529724159369</v>
      </c>
    </row>
    <row r="29" spans="1:171" x14ac:dyDescent="0.2">
      <c r="B29" s="1" t="s">
        <v>1</v>
      </c>
      <c r="C29" s="1">
        <v>1134</v>
      </c>
      <c r="D29" s="1">
        <v>1114</v>
      </c>
      <c r="E29" s="1">
        <v>1098</v>
      </c>
      <c r="F29" s="1">
        <v>1084</v>
      </c>
      <c r="G29" s="1">
        <v>1072</v>
      </c>
      <c r="H29" s="1">
        <v>1047</v>
      </c>
      <c r="I29" s="1">
        <v>1024</v>
      </c>
      <c r="J29" s="1">
        <v>1014</v>
      </c>
      <c r="K29" s="1">
        <v>986</v>
      </c>
      <c r="L29" s="1">
        <v>969</v>
      </c>
      <c r="M29" s="1">
        <v>923</v>
      </c>
      <c r="N29" s="1">
        <v>891</v>
      </c>
      <c r="O29" s="4"/>
      <c r="R29" s="1">
        <v>1158</v>
      </c>
      <c r="S29" s="1">
        <v>1107</v>
      </c>
      <c r="T29" s="1">
        <v>1039</v>
      </c>
      <c r="U29" s="1">
        <f>N29</f>
        <v>891</v>
      </c>
      <c r="V29" s="1">
        <f>U29*0.94</f>
        <v>837.54</v>
      </c>
      <c r="W29" s="1">
        <f t="shared" ref="W29:Y29" si="53">V29*0.94</f>
        <v>787.28759999999988</v>
      </c>
      <c r="X29" s="1">
        <f t="shared" si="53"/>
        <v>740.05034399999988</v>
      </c>
      <c r="Y29" s="1">
        <f t="shared" si="53"/>
        <v>695.64732335999986</v>
      </c>
    </row>
    <row r="30" spans="1:171" x14ac:dyDescent="0.2">
      <c r="B30" s="1" t="s">
        <v>6</v>
      </c>
      <c r="C30" s="5">
        <f t="shared" ref="C30:J30" si="54">C28/C29</f>
        <v>0.70105820105820105</v>
      </c>
      <c r="D30" s="5">
        <f t="shared" si="54"/>
        <v>0.92369838420107719</v>
      </c>
      <c r="E30" s="5">
        <f t="shared" si="54"/>
        <v>0.92896174863387981</v>
      </c>
      <c r="F30" s="5">
        <f t="shared" si="54"/>
        <v>1.2933579335793357</v>
      </c>
      <c r="G30" s="5">
        <f t="shared" si="54"/>
        <v>0.82835820895522383</v>
      </c>
      <c r="H30" s="5">
        <f t="shared" si="54"/>
        <v>1.0773638968481376</v>
      </c>
      <c r="I30" s="5">
        <f t="shared" si="54"/>
        <v>0.986328125</v>
      </c>
      <c r="J30" s="5">
        <f t="shared" si="54"/>
        <v>1.1055226824457594</v>
      </c>
      <c r="K30" s="5">
        <v>1.1299999999999999</v>
      </c>
      <c r="L30" s="5">
        <f>L28/L29</f>
        <v>1.3013415892672859</v>
      </c>
      <c r="M30" s="5">
        <f t="shared" ref="M30:N30" si="55">M28/M29</f>
        <v>1.6217068797399778</v>
      </c>
      <c r="N30" s="5">
        <f t="shared" si="55"/>
        <v>1.7368308884090904</v>
      </c>
      <c r="R30" s="5">
        <f>R28/R29</f>
        <v>2.0889464594127807</v>
      </c>
      <c r="S30" s="5">
        <f>S28/S29</f>
        <v>3.8355916892502258</v>
      </c>
      <c r="T30" s="5">
        <f>T28/T29</f>
        <v>3.991337824831569</v>
      </c>
      <c r="U30" s="5">
        <f t="shared" ref="U30:Y30" si="56">U28/U29</f>
        <v>6.2764890814506105</v>
      </c>
      <c r="V30" s="5">
        <f t="shared" si="56"/>
        <v>6.8844492923862228</v>
      </c>
      <c r="W30" s="5">
        <f t="shared" si="56"/>
        <v>7.8017698849958776</v>
      </c>
      <c r="X30" s="5">
        <f t="shared" si="56"/>
        <v>8.8354670465592715</v>
      </c>
      <c r="Y30" s="5">
        <f t="shared" si="56"/>
        <v>9.9998894406817183</v>
      </c>
      <c r="AA30" s="1" t="s">
        <v>37</v>
      </c>
      <c r="AB30" s="4">
        <v>0.02</v>
      </c>
    </row>
    <row r="31" spans="1:171" x14ac:dyDescent="0.2">
      <c r="G31" s="4"/>
      <c r="J31" s="6"/>
      <c r="U31" s="4"/>
      <c r="AA31" s="1" t="s">
        <v>35</v>
      </c>
      <c r="AB31" s="4">
        <v>0.01</v>
      </c>
    </row>
    <row r="32" spans="1:171" s="3" customFormat="1" x14ac:dyDescent="0.2">
      <c r="B32" s="3" t="s">
        <v>22</v>
      </c>
      <c r="C32" s="7"/>
      <c r="D32" s="7"/>
      <c r="E32" s="7"/>
      <c r="F32" s="7"/>
      <c r="G32" s="7">
        <f t="shared" ref="G32:N32" si="57">G13/C13-1</f>
        <v>9.3607954545454453E-2</v>
      </c>
      <c r="H32" s="7">
        <f t="shared" si="57"/>
        <v>8.2063949499108002E-2</v>
      </c>
      <c r="I32" s="7">
        <f t="shared" si="57"/>
        <v>5.7832299811269916E-2</v>
      </c>
      <c r="J32" s="7">
        <f t="shared" si="57"/>
        <v>4.2362322452030865E-2</v>
      </c>
      <c r="K32" s="7">
        <f t="shared" si="57"/>
        <v>1.1949603844655154E-2</v>
      </c>
      <c r="L32" s="7">
        <f t="shared" si="57"/>
        <v>5.1109701965757814E-2</v>
      </c>
      <c r="M32" s="7">
        <f t="shared" si="57"/>
        <v>8.7885816235503844E-2</v>
      </c>
      <c r="N32" s="7">
        <f t="shared" si="57"/>
        <v>5.1008749701171308E-2</v>
      </c>
      <c r="O32" s="7"/>
      <c r="P32" s="7" t="e">
        <f>P13/O13-1</f>
        <v>#DIV/0!</v>
      </c>
      <c r="Q32" s="7" t="e">
        <f t="shared" ref="Q32:R32" si="58">Q13/P13-1</f>
        <v>#DIV/0!</v>
      </c>
      <c r="R32" s="7" t="e">
        <f t="shared" si="58"/>
        <v>#DIV/0!</v>
      </c>
      <c r="S32" s="7">
        <f>S13/R13-1</f>
        <v>8.1873682680427384E-2</v>
      </c>
      <c r="T32" s="7">
        <f>T13/S13-1</f>
        <v>6.8052803063383793E-2</v>
      </c>
      <c r="U32" s="7">
        <f t="shared" ref="U32:Y32" si="59">U13/T13-1</f>
        <v>5.06770827436549E-2</v>
      </c>
      <c r="V32" s="7">
        <f t="shared" si="59"/>
        <v>5.0000000000000044E-2</v>
      </c>
      <c r="W32" s="7">
        <f t="shared" si="59"/>
        <v>5.0000000000000044E-2</v>
      </c>
      <c r="X32" s="7">
        <f t="shared" si="59"/>
        <v>5.0000000000000044E-2</v>
      </c>
      <c r="Y32" s="7">
        <f t="shared" si="59"/>
        <v>5.0000000000000044E-2</v>
      </c>
      <c r="AA32" s="1" t="s">
        <v>36</v>
      </c>
      <c r="AB32" s="4">
        <v>0.08</v>
      </c>
    </row>
    <row r="33" spans="2:28" x14ac:dyDescent="0.2">
      <c r="B33" s="1" t="s">
        <v>23</v>
      </c>
      <c r="D33" s="4">
        <f t="shared" ref="D33:N33" si="60">D13/C13-1</f>
        <v>3.5085227272727337E-2</v>
      </c>
      <c r="E33" s="4">
        <f t="shared" si="60"/>
        <v>1.7977219706326375E-2</v>
      </c>
      <c r="F33" s="4">
        <f t="shared" si="60"/>
        <v>8.1962793205715867E-2</v>
      </c>
      <c r="G33" s="4">
        <f t="shared" si="60"/>
        <v>-4.0742586593570884E-2</v>
      </c>
      <c r="H33" s="4">
        <f t="shared" si="60"/>
        <v>2.4158981685933334E-2</v>
      </c>
      <c r="I33" s="4">
        <f t="shared" si="60"/>
        <v>-4.8192771084337727E-3</v>
      </c>
      <c r="J33" s="4">
        <f t="shared" si="60"/>
        <v>6.6139926086402401E-2</v>
      </c>
      <c r="K33" s="4">
        <f t="shared" si="60"/>
        <v>-6.8730576141525224E-2</v>
      </c>
      <c r="L33" s="4">
        <f t="shared" si="60"/>
        <v>6.3791554357591984E-2</v>
      </c>
      <c r="M33" s="4">
        <f t="shared" si="60"/>
        <v>3.0000000000000027E-2</v>
      </c>
      <c r="N33" s="4">
        <f t="shared" si="60"/>
        <v>3.0000000000000027E-2</v>
      </c>
      <c r="AA33" s="1" t="s">
        <v>34</v>
      </c>
      <c r="AB33" s="3">
        <f>NPV(AB32,U62:FL62)+Main!J5-Main!J6</f>
        <v>92630.331591775132</v>
      </c>
    </row>
    <row r="34" spans="2:28" x14ac:dyDescent="0.2">
      <c r="AA34" s="12" t="s">
        <v>57</v>
      </c>
      <c r="AB34" s="5">
        <f>AB33/Main!J3</f>
        <v>96.956694427857201</v>
      </c>
    </row>
    <row r="35" spans="2:28" s="3" customFormat="1" x14ac:dyDescent="0.2">
      <c r="B35" s="3" t="s">
        <v>24</v>
      </c>
      <c r="C35" s="7">
        <f t="shared" ref="C35:N35" si="61">C18/C13</f>
        <v>0.40156249999999999</v>
      </c>
      <c r="D35" s="7">
        <f t="shared" si="61"/>
        <v>0.39193083573487031</v>
      </c>
      <c r="E35" s="7">
        <f t="shared" si="61"/>
        <v>0.39026691830682125</v>
      </c>
      <c r="F35" s="7">
        <f t="shared" si="61"/>
        <v>0.39957637677547969</v>
      </c>
      <c r="G35" s="7">
        <f t="shared" si="61"/>
        <v>0.39057020392258734</v>
      </c>
      <c r="H35" s="7">
        <f t="shared" si="61"/>
        <v>0.40228281547241596</v>
      </c>
      <c r="I35" s="7">
        <f t="shared" si="61"/>
        <v>0.41123996431757359</v>
      </c>
      <c r="J35" s="7">
        <f t="shared" si="61"/>
        <v>0.41644752569925891</v>
      </c>
      <c r="K35" s="7">
        <f t="shared" si="61"/>
        <v>0.42587601078167114</v>
      </c>
      <c r="L35" s="7">
        <f t="shared" si="61"/>
        <v>0.41397200772200771</v>
      </c>
      <c r="M35" s="7">
        <f t="shared" si="61"/>
        <v>0.44759647823968207</v>
      </c>
      <c r="N35" s="7">
        <f t="shared" si="61"/>
        <v>0.44759647823968207</v>
      </c>
      <c r="P35" s="7" t="e">
        <f t="shared" ref="P35:Y35" si="62">P18/P13</f>
        <v>#DIV/0!</v>
      </c>
      <c r="Q35" s="7" t="e">
        <f t="shared" si="62"/>
        <v>#DIV/0!</v>
      </c>
      <c r="R35" s="7">
        <f t="shared" si="62"/>
        <v>0.42346827531070574</v>
      </c>
      <c r="S35" s="7">
        <f t="shared" si="62"/>
        <v>0.39585502670383932</v>
      </c>
      <c r="T35" s="7">
        <f t="shared" si="62"/>
        <v>0.40538415573796271</v>
      </c>
      <c r="U35" s="7">
        <f t="shared" si="62"/>
        <v>0.43418954906977336</v>
      </c>
      <c r="V35" s="7">
        <f t="shared" si="62"/>
        <v>0.43418954906977342</v>
      </c>
      <c r="W35" s="7">
        <f t="shared" si="62"/>
        <v>0.43418954906977342</v>
      </c>
      <c r="X35" s="7">
        <f t="shared" si="62"/>
        <v>0.43418954906977353</v>
      </c>
      <c r="Y35" s="7">
        <f t="shared" si="62"/>
        <v>0.43418954906977353</v>
      </c>
      <c r="AA35" s="1"/>
      <c r="AB35" s="4">
        <f>AB34/Main!J2-1</f>
        <v>0.40516948446169865</v>
      </c>
    </row>
    <row r="36" spans="2:28" x14ac:dyDescent="0.2">
      <c r="B36" s="1" t="s">
        <v>25</v>
      </c>
      <c r="C36" s="4">
        <f t="shared" ref="C36:N36" si="63">C24/C13</f>
        <v>0.14190340909090909</v>
      </c>
      <c r="D36" s="4">
        <f t="shared" si="63"/>
        <v>0.15548236585700562</v>
      </c>
      <c r="E36" s="4">
        <f t="shared" si="63"/>
        <v>0.15745483957940146</v>
      </c>
      <c r="F36" s="4">
        <f t="shared" si="63"/>
        <v>0.21530027410914529</v>
      </c>
      <c r="G36" s="4">
        <f t="shared" si="63"/>
        <v>0.15170801402779582</v>
      </c>
      <c r="H36" s="4">
        <f t="shared" si="63"/>
        <v>0.16804058338617628</v>
      </c>
      <c r="I36" s="4">
        <f t="shared" si="63"/>
        <v>0.17726519689053141</v>
      </c>
      <c r="J36" s="4">
        <f t="shared" si="63"/>
        <v>0.17224480038250059</v>
      </c>
      <c r="K36" s="4">
        <f t="shared" si="63"/>
        <v>0.19638043896804006</v>
      </c>
      <c r="L36" s="4">
        <f t="shared" si="63"/>
        <v>0.18146718146718147</v>
      </c>
      <c r="M36" s="4">
        <f t="shared" si="63"/>
        <v>0.2150916519848558</v>
      </c>
      <c r="N36" s="4">
        <f t="shared" si="63"/>
        <v>0.21509165198485578</v>
      </c>
      <c r="P36" s="4" t="e">
        <f t="shared" ref="P36:Y36" si="64">P24/P13</f>
        <v>#DIV/0!</v>
      </c>
      <c r="Q36" s="4" t="e">
        <f t="shared" si="64"/>
        <v>#DIV/0!</v>
      </c>
      <c r="R36" s="4">
        <f t="shared" si="64"/>
        <v>0.13943600552365723</v>
      </c>
      <c r="S36" s="4">
        <f t="shared" si="64"/>
        <v>0.16888918746431092</v>
      </c>
      <c r="T36" s="4">
        <f t="shared" si="64"/>
        <v>0.16746862911595434</v>
      </c>
      <c r="U36" s="4">
        <f t="shared" si="64"/>
        <v>0.20238649590040558</v>
      </c>
      <c r="V36" s="4">
        <f t="shared" si="64"/>
        <v>0.20238649590040561</v>
      </c>
      <c r="W36" s="4">
        <f t="shared" si="64"/>
        <v>0.20238649590040561</v>
      </c>
      <c r="X36" s="4">
        <f t="shared" si="64"/>
        <v>0.20238649590040567</v>
      </c>
      <c r="Y36" s="4">
        <f t="shared" si="64"/>
        <v>0.20238649590040569</v>
      </c>
    </row>
    <row r="37" spans="2:28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P37" s="4"/>
      <c r="Q37" s="4"/>
      <c r="R37" s="4"/>
      <c r="S37" s="4"/>
      <c r="T37" s="4"/>
      <c r="U37" s="4"/>
      <c r="V37" s="4"/>
      <c r="W37" s="4"/>
      <c r="X37" s="4"/>
      <c r="Y37" s="4"/>
      <c r="AB37" s="4"/>
    </row>
    <row r="38" spans="2:28" x14ac:dyDescent="0.2">
      <c r="B38" s="1" t="s">
        <v>31</v>
      </c>
      <c r="L38" s="1">
        <f>L39+L44-L55</f>
        <v>2357</v>
      </c>
      <c r="M38" s="1">
        <f>L38+M28</f>
        <v>3853.8354499999996</v>
      </c>
      <c r="N38" s="1">
        <f>M38+N28</f>
        <v>5401.3517715724993</v>
      </c>
      <c r="U38" s="1">
        <f>N38</f>
        <v>5401.3517715724993</v>
      </c>
      <c r="V38" s="1">
        <f>U38+V28</f>
        <v>11167.353431917656</v>
      </c>
      <c r="W38" s="1">
        <f>V38+W28</f>
        <v>17309.590120428336</v>
      </c>
      <c r="X38" s="1">
        <f>W38+X28</f>
        <v>23848.280547635186</v>
      </c>
      <c r="Y38" s="1">
        <f>X38+Y28</f>
        <v>30804.676870941348</v>
      </c>
    </row>
    <row r="39" spans="2:28" x14ac:dyDescent="0.2">
      <c r="B39" s="12" t="s">
        <v>3</v>
      </c>
      <c r="L39" s="1">
        <f>6688+3320</f>
        <v>10008</v>
      </c>
    </row>
    <row r="40" spans="2:28" x14ac:dyDescent="0.2">
      <c r="B40" s="12" t="s">
        <v>33</v>
      </c>
      <c r="L40" s="1">
        <v>1099</v>
      </c>
    </row>
    <row r="41" spans="2:28" x14ac:dyDescent="0.2">
      <c r="B41" s="12" t="s">
        <v>58</v>
      </c>
      <c r="L41" s="1">
        <f>817+6938</f>
        <v>7755</v>
      </c>
    </row>
    <row r="42" spans="2:28" x14ac:dyDescent="0.2">
      <c r="B42" s="12" t="s">
        <v>59</v>
      </c>
      <c r="L42" s="1">
        <v>38923</v>
      </c>
    </row>
    <row r="43" spans="2:28" x14ac:dyDescent="0.2">
      <c r="B43" s="12" t="s">
        <v>60</v>
      </c>
      <c r="L43" s="1">
        <v>2094</v>
      </c>
    </row>
    <row r="44" spans="2:28" x14ac:dyDescent="0.2">
      <c r="B44" s="12" t="s">
        <v>61</v>
      </c>
      <c r="L44" s="1">
        <v>3645</v>
      </c>
    </row>
    <row r="45" spans="2:28" x14ac:dyDescent="0.2">
      <c r="B45" s="12" t="s">
        <v>62</v>
      </c>
      <c r="L45" s="1">
        <v>1625</v>
      </c>
      <c r="R45" s="4"/>
      <c r="S45" s="4"/>
      <c r="T45" s="4"/>
      <c r="U45" s="4"/>
      <c r="V45" s="4"/>
      <c r="W45" s="4"/>
      <c r="X45" s="4"/>
      <c r="Y45" s="4"/>
    </row>
    <row r="46" spans="2:28" x14ac:dyDescent="0.2">
      <c r="B46" s="12" t="s">
        <v>63</v>
      </c>
      <c r="L46" s="1">
        <v>10976</v>
      </c>
      <c r="R46" s="4"/>
      <c r="S46" s="4"/>
      <c r="T46" s="4"/>
      <c r="U46" s="4"/>
      <c r="V46" s="4"/>
      <c r="W46" s="4"/>
      <c r="X46" s="4"/>
      <c r="Y46" s="4"/>
    </row>
    <row r="47" spans="2:28" x14ac:dyDescent="0.2">
      <c r="B47" s="12" t="s">
        <v>64</v>
      </c>
      <c r="L47" s="1">
        <v>271</v>
      </c>
      <c r="R47" s="4"/>
      <c r="S47" s="4"/>
      <c r="T47" s="4"/>
      <c r="U47" s="4"/>
      <c r="V47" s="4"/>
      <c r="W47" s="4"/>
      <c r="X47" s="4"/>
      <c r="Y47" s="4"/>
    </row>
    <row r="48" spans="2:28" x14ac:dyDescent="0.2">
      <c r="B48" s="12" t="s">
        <v>65</v>
      </c>
      <c r="L48" s="1">
        <v>3381</v>
      </c>
      <c r="R48" s="4"/>
      <c r="S48" s="4"/>
      <c r="T48" s="4"/>
      <c r="U48" s="4"/>
      <c r="V48" s="4"/>
      <c r="W48" s="4"/>
      <c r="X48" s="4"/>
      <c r="Y48" s="4"/>
    </row>
    <row r="49" spans="2:168" x14ac:dyDescent="0.2">
      <c r="B49" s="12" t="s">
        <v>66</v>
      </c>
      <c r="L49" s="1">
        <f>SUM(L39:L48)</f>
        <v>79777</v>
      </c>
      <c r="R49" s="4"/>
      <c r="S49" s="4"/>
      <c r="T49" s="4"/>
      <c r="U49" s="4"/>
      <c r="V49" s="4"/>
      <c r="W49" s="4"/>
      <c r="X49" s="4"/>
      <c r="Y49" s="4"/>
    </row>
    <row r="50" spans="2:168" x14ac:dyDescent="0.2">
      <c r="B50" s="12"/>
      <c r="R50" s="4"/>
      <c r="S50" s="4"/>
      <c r="T50" s="4"/>
      <c r="U50" s="4"/>
      <c r="V50" s="4"/>
      <c r="W50" s="4"/>
      <c r="X50" s="4"/>
      <c r="Y50" s="4"/>
    </row>
    <row r="51" spans="2:168" x14ac:dyDescent="0.2">
      <c r="B51" s="12" t="s">
        <v>32</v>
      </c>
      <c r="L51" s="1">
        <v>221</v>
      </c>
      <c r="R51" s="4"/>
      <c r="S51" s="4"/>
      <c r="T51" s="4"/>
      <c r="U51" s="4"/>
      <c r="V51" s="4"/>
      <c r="W51" s="4"/>
      <c r="X51" s="4"/>
      <c r="Y51" s="4"/>
    </row>
    <row r="52" spans="2:168" x14ac:dyDescent="0.2">
      <c r="B52" s="12" t="s">
        <v>67</v>
      </c>
      <c r="L52" s="1">
        <v>40923</v>
      </c>
      <c r="R52" s="4"/>
      <c r="S52" s="4"/>
      <c r="T52" s="4"/>
      <c r="U52" s="4"/>
      <c r="V52" s="4"/>
      <c r="W52" s="4"/>
      <c r="X52" s="4"/>
      <c r="Y52" s="4"/>
    </row>
    <row r="53" spans="2:168" x14ac:dyDescent="0.2">
      <c r="B53" s="12" t="s">
        <v>68</v>
      </c>
      <c r="L53" s="1">
        <v>3906</v>
      </c>
      <c r="R53" s="4"/>
      <c r="S53" s="4"/>
      <c r="T53" s="4"/>
      <c r="U53" s="4"/>
      <c r="V53" s="4"/>
      <c r="W53" s="4"/>
      <c r="X53" s="4"/>
      <c r="Y53" s="4"/>
    </row>
    <row r="54" spans="2:168" x14ac:dyDescent="0.2">
      <c r="B54" s="12" t="s">
        <v>69</v>
      </c>
      <c r="L54" s="1">
        <v>3230</v>
      </c>
      <c r="R54" s="4"/>
      <c r="S54" s="4"/>
      <c r="T54" s="4"/>
      <c r="U54" s="4"/>
      <c r="V54" s="4"/>
      <c r="W54" s="4"/>
      <c r="X54" s="4"/>
      <c r="Y54" s="4"/>
    </row>
    <row r="55" spans="2:168" x14ac:dyDescent="0.2">
      <c r="B55" s="12" t="s">
        <v>4</v>
      </c>
      <c r="L55" s="1">
        <v>11296</v>
      </c>
      <c r="R55" s="4"/>
      <c r="S55" s="4"/>
      <c r="T55" s="4"/>
      <c r="U55" s="4"/>
      <c r="V55" s="4"/>
      <c r="W55" s="4"/>
      <c r="X55" s="4"/>
      <c r="Y55" s="4"/>
    </row>
    <row r="56" spans="2:168" x14ac:dyDescent="0.2">
      <c r="B56" s="12" t="s">
        <v>70</v>
      </c>
      <c r="L56" s="1">
        <f>SUM(L51:L55)</f>
        <v>59576</v>
      </c>
      <c r="R56" s="4"/>
      <c r="S56" s="4"/>
      <c r="T56" s="4"/>
      <c r="U56" s="4"/>
      <c r="V56" s="4"/>
      <c r="W56" s="4"/>
      <c r="X56" s="4"/>
      <c r="Y56" s="4"/>
    </row>
    <row r="57" spans="2:168" x14ac:dyDescent="0.2">
      <c r="B57" s="12" t="s">
        <v>71</v>
      </c>
      <c r="L57" s="1">
        <f>L49-L56</f>
        <v>20201</v>
      </c>
      <c r="R57" s="4"/>
      <c r="S57" s="4"/>
      <c r="T57" s="4"/>
      <c r="U57" s="4"/>
      <c r="V57" s="4"/>
      <c r="W57" s="4"/>
      <c r="X57" s="4"/>
      <c r="Y57" s="4"/>
    </row>
    <row r="58" spans="2:168" x14ac:dyDescent="0.2">
      <c r="B58" s="12" t="s">
        <v>72</v>
      </c>
      <c r="L58" s="1">
        <f>L57+L56</f>
        <v>79777</v>
      </c>
      <c r="R58" s="4"/>
      <c r="S58" s="4"/>
      <c r="T58" s="4"/>
      <c r="U58" s="4"/>
      <c r="V58" s="4"/>
      <c r="W58" s="4"/>
      <c r="X58" s="4"/>
      <c r="Y58" s="4"/>
    </row>
    <row r="59" spans="2:168" x14ac:dyDescent="0.2">
      <c r="B59" s="12"/>
      <c r="R59" s="4"/>
      <c r="S59" s="4"/>
      <c r="T59" s="4"/>
      <c r="U59" s="4"/>
      <c r="V59" s="4"/>
      <c r="W59" s="4"/>
      <c r="X59" s="4"/>
      <c r="Y59" s="4"/>
    </row>
    <row r="60" spans="2:168" x14ac:dyDescent="0.2">
      <c r="B60" s="1" t="s">
        <v>26</v>
      </c>
      <c r="R60" s="1">
        <v>5813</v>
      </c>
      <c r="S60" s="1">
        <v>4843</v>
      </c>
      <c r="T60" s="1">
        <v>7450</v>
      </c>
      <c r="U60" s="1">
        <v>7500</v>
      </c>
      <c r="V60" s="1">
        <f>U60*1.05</f>
        <v>7875</v>
      </c>
      <c r="W60" s="1">
        <f t="shared" ref="W60:Y61" si="65">V60*1.05</f>
        <v>8268.75</v>
      </c>
      <c r="X60" s="1">
        <f t="shared" si="65"/>
        <v>8682.1875</v>
      </c>
      <c r="Y60" s="1">
        <f t="shared" si="65"/>
        <v>9116.296875</v>
      </c>
      <c r="AC60" s="5"/>
    </row>
    <row r="61" spans="2:168" x14ac:dyDescent="0.2">
      <c r="B61" s="1" t="s">
        <v>27</v>
      </c>
      <c r="R61" s="1">
        <v>-3328</v>
      </c>
      <c r="S61" s="1">
        <v>-752</v>
      </c>
      <c r="T61" s="1">
        <v>-1589</v>
      </c>
      <c r="U61" s="1">
        <v>-1000</v>
      </c>
      <c r="V61" s="1">
        <f>T61*1.1</f>
        <v>-1747.9</v>
      </c>
      <c r="W61" s="1">
        <f t="shared" si="65"/>
        <v>-1835.2950000000001</v>
      </c>
      <c r="X61" s="1">
        <f t="shared" si="65"/>
        <v>-1927.0597500000001</v>
      </c>
      <c r="Y61" s="1">
        <f t="shared" si="65"/>
        <v>-2023.4127375000003</v>
      </c>
      <c r="AC61" s="5"/>
    </row>
    <row r="62" spans="2:168" x14ac:dyDescent="0.2">
      <c r="B62" s="3" t="s">
        <v>28</v>
      </c>
      <c r="C62" s="3">
        <f>C60-C61</f>
        <v>0</v>
      </c>
      <c r="D62" s="3"/>
      <c r="E62" s="3"/>
      <c r="F62" s="3"/>
      <c r="G62" s="3">
        <v>1856</v>
      </c>
      <c r="H62" s="3">
        <v>1140</v>
      </c>
      <c r="I62" s="3">
        <v>1540</v>
      </c>
      <c r="J62" s="3">
        <v>2098</v>
      </c>
      <c r="K62" s="3">
        <v>1381</v>
      </c>
      <c r="L62" s="3">
        <v>656</v>
      </c>
      <c r="M62" s="3">
        <v>2232</v>
      </c>
      <c r="N62" s="3">
        <v>2232</v>
      </c>
      <c r="O62" s="3"/>
      <c r="P62" s="3"/>
      <c r="Q62" s="3"/>
      <c r="R62" s="3">
        <f>R60+R61</f>
        <v>2485</v>
      </c>
      <c r="S62" s="3">
        <f t="shared" ref="S62:T62" si="66">S60+S61</f>
        <v>4091</v>
      </c>
      <c r="T62" s="3">
        <f t="shared" si="66"/>
        <v>5861</v>
      </c>
      <c r="U62" s="3">
        <f>U60+U61</f>
        <v>6500</v>
      </c>
      <c r="V62" s="3">
        <f>V60+V61</f>
        <v>6127.1</v>
      </c>
      <c r="W62" s="3">
        <f t="shared" ref="W62:Y62" si="67">W60+W61</f>
        <v>6433.4549999999999</v>
      </c>
      <c r="X62" s="3">
        <f t="shared" si="67"/>
        <v>6755.1277499999997</v>
      </c>
      <c r="Y62" s="3">
        <f t="shared" si="67"/>
        <v>7092.8841374999993</v>
      </c>
      <c r="Z62" s="3">
        <f>Y62*(1+$AB$31)</f>
        <v>7163.8129788749993</v>
      </c>
      <c r="AA62" s="3">
        <f>Z62*(1+$AB$31)</f>
        <v>7235.4511086637494</v>
      </c>
      <c r="AB62" s="3">
        <f>AA62*(1+$AB$31)</f>
        <v>7307.8056197503875</v>
      </c>
      <c r="AC62" s="3">
        <f>AB62*(1+$AB$31)</f>
        <v>7380.8836759478918</v>
      </c>
      <c r="AD62" s="3">
        <f>AC62*(1+$AB$31)</f>
        <v>7454.692512707371</v>
      </c>
      <c r="AE62" s="3">
        <f>AD62*(1+$AB$31)</f>
        <v>7529.2394378344443</v>
      </c>
      <c r="AF62" s="3">
        <f>AE62*(1+$AB$31)</f>
        <v>7604.5318322127887</v>
      </c>
      <c r="AG62" s="3">
        <f>AF62*(1+$AB$31)</f>
        <v>7680.5771505349167</v>
      </c>
      <c r="AH62" s="3">
        <f>AG62*(1+$AB$31)</f>
        <v>7757.3829220402658</v>
      </c>
      <c r="AI62" s="3">
        <f>AH62*(1+$AB$31)</f>
        <v>7834.9567512606682</v>
      </c>
      <c r="AJ62" s="3">
        <f>AI62*(1+$AB$31)</f>
        <v>7913.3063187732751</v>
      </c>
      <c r="AK62" s="3">
        <f>AJ62*(1+$AB$31)</f>
        <v>7992.4393819610077</v>
      </c>
      <c r="AL62" s="3">
        <f>AK62*(1+$AB$31)</f>
        <v>8072.3637757806182</v>
      </c>
      <c r="AM62" s="3">
        <f>AL62*(1+$AB$31)</f>
        <v>8153.0874135384247</v>
      </c>
      <c r="AN62" s="3">
        <f>AM62*(1+$AB$31)</f>
        <v>8234.6182876738094</v>
      </c>
      <c r="AO62" s="3">
        <f>AN62*(1+$AB$31)</f>
        <v>8316.964470550547</v>
      </c>
      <c r="AP62" s="3">
        <f>AO62*(1+$AB$31)</f>
        <v>8400.1341152560526</v>
      </c>
      <c r="AQ62" s="3">
        <f>AP62*(1+$AB$31)</f>
        <v>8484.1354564086141</v>
      </c>
      <c r="AR62" s="3">
        <f>AQ62*(1+$AB$31)</f>
        <v>8568.9768109727011</v>
      </c>
      <c r="AS62" s="3">
        <f>AR62*(1+$AB$31)</f>
        <v>8654.6665790824281</v>
      </c>
      <c r="AT62" s="3">
        <f>AS62*(1+$AB$31)</f>
        <v>8741.2132448732518</v>
      </c>
      <c r="AU62" s="3">
        <f>AT62*(1+$AB$31)</f>
        <v>8828.6253773219851</v>
      </c>
      <c r="AV62" s="3">
        <f>AU62*(1+$AB$31)</f>
        <v>8916.9116310952049</v>
      </c>
      <c r="AW62" s="3">
        <f>AV62*(1+$AB$31)</f>
        <v>9006.0807474061567</v>
      </c>
      <c r="AX62" s="3">
        <f>AW62*(1+$AB$31)</f>
        <v>9096.1415548802179</v>
      </c>
      <c r="AY62" s="3">
        <f>AX62*(1+$AB$31)</f>
        <v>9187.1029704290195</v>
      </c>
      <c r="AZ62" s="3">
        <f>AY62*(1+$AB$31)</f>
        <v>9278.9740001333103</v>
      </c>
      <c r="BA62" s="3">
        <f>AZ62*(1+$AB$31)</f>
        <v>9371.7637401346437</v>
      </c>
      <c r="BB62" s="3">
        <f>BA62*(1+$AB$31)</f>
        <v>9465.4813775359908</v>
      </c>
      <c r="BC62" s="3">
        <f>BB62*(1+$AB$31)</f>
        <v>9560.1361913113506</v>
      </c>
      <c r="BD62" s="3">
        <f>BC62*(1+$AB$31)</f>
        <v>9655.7375532244641</v>
      </c>
      <c r="BE62" s="3">
        <f>BD62*(1+$AB$31)</f>
        <v>9752.294928756708</v>
      </c>
      <c r="BF62" s="3">
        <f>BE62*(1+$AB$31)</f>
        <v>9849.8178780442759</v>
      </c>
      <c r="BG62" s="3">
        <f>BF62*(1+$AB$31)</f>
        <v>9948.3160568247185</v>
      </c>
      <c r="BH62" s="3">
        <f>BG62*(1+$AB$31)</f>
        <v>10047.799217392965</v>
      </c>
      <c r="BI62" s="3">
        <f>BH62*(1+$AB$31)</f>
        <v>10148.277209566895</v>
      </c>
      <c r="BJ62" s="3">
        <f>BI62*(1+$AB$31)</f>
        <v>10249.759981662564</v>
      </c>
      <c r="BK62" s="3">
        <f>BJ62*(1+$AB$31)</f>
        <v>10352.257581479191</v>
      </c>
      <c r="BL62" s="3">
        <f>BK62*(1+$AB$31)</f>
        <v>10455.780157293982</v>
      </c>
      <c r="BM62" s="3">
        <f>BL62*(1+$AB$31)</f>
        <v>10560.337958866923</v>
      </c>
      <c r="BN62" s="3">
        <f>BM62*(1+$AB$31)</f>
        <v>10665.941338455592</v>
      </c>
      <c r="BO62" s="3">
        <f>BN62*(1+$AB$31)</f>
        <v>10772.600751840147</v>
      </c>
      <c r="BP62" s="3">
        <f>BO62*(1+$AB$31)</f>
        <v>10880.32675935855</v>
      </c>
      <c r="BQ62" s="3">
        <f>BP62*(1+$AB$31)</f>
        <v>10989.130026952136</v>
      </c>
      <c r="BR62" s="3">
        <f>BQ62*(1+$AB$31)</f>
        <v>11099.021327221657</v>
      </c>
      <c r="BS62" s="3">
        <f>BR62*(1+$AB$31)</f>
        <v>11210.011540493873</v>
      </c>
      <c r="BT62" s="3">
        <f>BS62*(1+$AB$31)</f>
        <v>11322.111655898812</v>
      </c>
      <c r="BU62" s="3">
        <f>BT62*(1+$AB$31)</f>
        <v>11435.332772457801</v>
      </c>
      <c r="BV62" s="3">
        <f>BU62*(1+$AB$31)</f>
        <v>11549.68610018238</v>
      </c>
      <c r="BW62" s="3">
        <f>BV62*(1+$AB$31)</f>
        <v>11665.182961184204</v>
      </c>
      <c r="BX62" s="3">
        <f>BW62*(1+$AB$31)</f>
        <v>11781.834790796047</v>
      </c>
      <c r="BY62" s="3">
        <f>BX62*(1+$AB$31)</f>
        <v>11899.653138704007</v>
      </c>
      <c r="BZ62" s="3">
        <f>BY62*(1+$AB$31)</f>
        <v>12018.649670091047</v>
      </c>
      <c r="CA62" s="3">
        <f>BZ62*(1+$AB$31)</f>
        <v>12138.836166791958</v>
      </c>
      <c r="CB62" s="3">
        <f>CA62*(1+$AB$31)</f>
        <v>12260.224528459878</v>
      </c>
      <c r="CC62" s="3">
        <f>CB62*(1+$AB$31)</f>
        <v>12382.826773744477</v>
      </c>
      <c r="CD62" s="3">
        <f>CC62*(1+$AB$31)</f>
        <v>12506.655041481921</v>
      </c>
      <c r="CE62" s="3">
        <f>CD62*(1+$AB$31)</f>
        <v>12631.721591896741</v>
      </c>
      <c r="CF62" s="3">
        <f>CE62*(1+$AB$31)</f>
        <v>12758.038807815708</v>
      </c>
      <c r="CG62" s="3">
        <f>CF62*(1+$AB$31)</f>
        <v>12885.619195893865</v>
      </c>
      <c r="CH62" s="3">
        <f>CG62*(1+$AB$31)</f>
        <v>13014.475387852804</v>
      </c>
      <c r="CI62" s="3">
        <f>CH62*(1+$AB$31)</f>
        <v>13144.620141731333</v>
      </c>
      <c r="CJ62" s="3">
        <f>CI62*(1+$AB$31)</f>
        <v>13276.066343148646</v>
      </c>
      <c r="CK62" s="3">
        <f>CJ62*(1+$AB$31)</f>
        <v>13408.827006580133</v>
      </c>
      <c r="CL62" s="3">
        <f>CK62*(1+$AB$31)</f>
        <v>13542.915276645936</v>
      </c>
      <c r="CM62" s="3">
        <f>CL62*(1+$AB$31)</f>
        <v>13678.344429412395</v>
      </c>
      <c r="CN62" s="3">
        <f>CM62*(1+$AB$31)</f>
        <v>13815.127873706519</v>
      </c>
      <c r="CO62" s="3">
        <f>CN62*(1+$AB$31)</f>
        <v>13953.279152443583</v>
      </c>
      <c r="CP62" s="3">
        <f>CO62*(1+$AB$31)</f>
        <v>14092.811943968019</v>
      </c>
      <c r="CQ62" s="3">
        <f>CP62*(1+$AB$31)</f>
        <v>14233.7400634077</v>
      </c>
      <c r="CR62" s="3">
        <f>CQ62*(1+$AB$31)</f>
        <v>14376.077464041777</v>
      </c>
      <c r="CS62" s="3">
        <f>CR62*(1+$AB$31)</f>
        <v>14519.838238682194</v>
      </c>
      <c r="CT62" s="3">
        <f>CS62*(1+$AB$31)</f>
        <v>14665.036621069015</v>
      </c>
      <c r="CU62" s="3">
        <f>CT62*(1+$AB$31)</f>
        <v>14811.686987279705</v>
      </c>
      <c r="CV62" s="3">
        <f>CU62*(1+$AB$31)</f>
        <v>14959.803857152503</v>
      </c>
      <c r="CW62" s="3">
        <f>CV62*(1+$AB$31)</f>
        <v>15109.401895724028</v>
      </c>
      <c r="CX62" s="3">
        <f>CW62*(1+$AB$31)</f>
        <v>15260.495914681269</v>
      </c>
      <c r="CY62" s="3">
        <f>CX62*(1+$AB$31)</f>
        <v>15413.100873828082</v>
      </c>
      <c r="CZ62" s="3">
        <f>CY62*(1+$AB$31)</f>
        <v>15567.231882566362</v>
      </c>
      <c r="DA62" s="3">
        <f>CZ62*(1+$AB$31)</f>
        <v>15722.904201392026</v>
      </c>
      <c r="DB62" s="3">
        <f>DA62*(1+$AB$31)</f>
        <v>15880.133243405946</v>
      </c>
      <c r="DC62" s="3">
        <f>DB62*(1+$AB$31)</f>
        <v>16038.934575840005</v>
      </c>
      <c r="DD62" s="3">
        <f>DC62*(1+$AB$31)</f>
        <v>16199.323921598405</v>
      </c>
      <c r="DE62" s="3">
        <f>DD62*(1+$AB$31)</f>
        <v>16361.317160814389</v>
      </c>
      <c r="DF62" s="3">
        <f>DE62*(1+$AB$31)</f>
        <v>16524.930332422533</v>
      </c>
      <c r="DG62" s="3">
        <f>DF62*(1+$AB$31)</f>
        <v>16690.179635746757</v>
      </c>
      <c r="DH62" s="3">
        <f>DG62*(1+$AB$31)</f>
        <v>16857.081432104223</v>
      </c>
      <c r="DI62" s="3">
        <f>DH62*(1+$AB$31)</f>
        <v>17025.652246425267</v>
      </c>
      <c r="DJ62" s="3">
        <f>DI62*(1+$AB$31)</f>
        <v>17195.90876888952</v>
      </c>
      <c r="DK62" s="3">
        <f>DJ62*(1+$AB$31)</f>
        <v>17367.867856578414</v>
      </c>
      <c r="DL62" s="3">
        <f>DK62*(1+$AB$31)</f>
        <v>17541.5465351442</v>
      </c>
      <c r="DM62" s="3">
        <f>DL62*(1+$AB$31)</f>
        <v>17716.962000495641</v>
      </c>
      <c r="DN62" s="3">
        <f>DM62*(1+$AB$31)</f>
        <v>17894.131620500597</v>
      </c>
      <c r="DO62" s="3">
        <f>DN62*(1+$AB$31)</f>
        <v>18073.072936705605</v>
      </c>
      <c r="DP62" s="3">
        <f>DO62*(1+$AB$31)</f>
        <v>18253.803666072661</v>
      </c>
      <c r="DQ62" s="3">
        <f>DP62*(1+$AB$31)</f>
        <v>18436.341702733389</v>
      </c>
      <c r="DR62" s="3">
        <f>DQ62*(1+$AB$31)</f>
        <v>18620.705119760722</v>
      </c>
      <c r="DS62" s="3">
        <f>DR62*(1+$AB$31)</f>
        <v>18806.912170958331</v>
      </c>
      <c r="DT62" s="3">
        <f>DS62*(1+$AB$31)</f>
        <v>18994.981292667915</v>
      </c>
      <c r="DU62" s="3">
        <f>DT62*(1+$AB$31)</f>
        <v>19184.931105594595</v>
      </c>
      <c r="DV62" s="3">
        <f>DU62*(1+$AB$31)</f>
        <v>19376.780416650541</v>
      </c>
      <c r="DW62" s="3">
        <f>DV62*(1+$AB$31)</f>
        <v>19570.548220817047</v>
      </c>
      <c r="DX62" s="3">
        <f>DW62*(1+$AB$31)</f>
        <v>19766.253703025217</v>
      </c>
      <c r="DY62" s="3">
        <f>DX62*(1+$AB$31)</f>
        <v>19963.916240055471</v>
      </c>
      <c r="DZ62" s="3">
        <f>DY62*(1+$AB$31)</f>
        <v>20163.555402456026</v>
      </c>
      <c r="EA62" s="3">
        <f>DZ62*(1+$AB$31)</f>
        <v>20365.190956480586</v>
      </c>
      <c r="EB62" s="3">
        <f>EA62*(1+$AB$31)</f>
        <v>20568.842866045394</v>
      </c>
      <c r="EC62" s="3">
        <f>EB62*(1+$AB$31)</f>
        <v>20774.531294705848</v>
      </c>
      <c r="ED62" s="3">
        <f>EC62*(1+$AB$31)</f>
        <v>20982.276607652908</v>
      </c>
      <c r="EE62" s="3">
        <f>ED62*(1+$AB$31)</f>
        <v>21192.099373729438</v>
      </c>
      <c r="EF62" s="3">
        <f>EE62*(1+$AB$31)</f>
        <v>21404.020367466732</v>
      </c>
      <c r="EG62" s="3">
        <f>EF62*(1+$AB$31)</f>
        <v>21618.060571141399</v>
      </c>
      <c r="EH62" s="3">
        <f>EG62*(1+$AB$31)</f>
        <v>21834.241176852815</v>
      </c>
      <c r="EI62" s="3">
        <f>EH62*(1+$AB$31)</f>
        <v>22052.583588621343</v>
      </c>
      <c r="EJ62" s="3">
        <f>EI62*(1+$AB$31)</f>
        <v>22273.109424507555</v>
      </c>
      <c r="EK62" s="3">
        <f>EJ62*(1+$AB$31)</f>
        <v>22495.84051875263</v>
      </c>
      <c r="EL62" s="3">
        <f>EK62*(1+$AB$31)</f>
        <v>22720.798923940158</v>
      </c>
      <c r="EM62" s="3">
        <f>EL62*(1+$AB$31)</f>
        <v>22948.006913179561</v>
      </c>
      <c r="EN62" s="3">
        <f>EM62*(1+$AB$31)</f>
        <v>23177.486982311355</v>
      </c>
      <c r="EO62" s="3">
        <f>EN62*(1+$AB$31)</f>
        <v>23409.26185213447</v>
      </c>
      <c r="EP62" s="3">
        <f>EO62*(1+$AB$31)</f>
        <v>23643.354470655817</v>
      </c>
      <c r="EQ62" s="3">
        <f>EP62*(1+$AB$31)</f>
        <v>23879.788015362374</v>
      </c>
      <c r="ER62" s="3">
        <f>EQ62*(1+$AB$31)</f>
        <v>24118.585895515997</v>
      </c>
      <c r="ES62" s="3">
        <f>ER62*(1+$AB$31)</f>
        <v>24359.771754471156</v>
      </c>
      <c r="ET62" s="3">
        <f>ES62*(1+$AB$31)</f>
        <v>24603.369472015867</v>
      </c>
      <c r="EU62" s="3">
        <f>ET62*(1+$AB$31)</f>
        <v>24849.403166736025</v>
      </c>
      <c r="EV62" s="3">
        <f>EU62*(1+$AB$31)</f>
        <v>25097.897198403385</v>
      </c>
      <c r="EW62" s="3">
        <f>EV62*(1+$AB$31)</f>
        <v>25348.876170387419</v>
      </c>
      <c r="EX62" s="3">
        <f>EW62*(1+$AB$31)</f>
        <v>25602.364932091292</v>
      </c>
      <c r="EY62" s="3">
        <f>EX62*(1+$AB$31)</f>
        <v>25858.388581412204</v>
      </c>
      <c r="EZ62" s="3">
        <f>EY62*(1+$AB$31)</f>
        <v>26116.972467226326</v>
      </c>
      <c r="FA62" s="3">
        <f>EZ62*(1+$AB$31)</f>
        <v>26378.142191898591</v>
      </c>
      <c r="FB62" s="3">
        <f>FA62*(1+$AB$31)</f>
        <v>26641.923613817577</v>
      </c>
      <c r="FC62" s="3">
        <f>FB62*(1+$AB$31)</f>
        <v>26908.342849955752</v>
      </c>
      <c r="FD62" s="3">
        <f>FC62*(1+$AB$31)</f>
        <v>27177.42627845531</v>
      </c>
      <c r="FE62" s="3">
        <f>FD62*(1+$AB$31)</f>
        <v>27449.200541239865</v>
      </c>
      <c r="FF62" s="3">
        <f>FE62*(1+$AB$31)</f>
        <v>27723.692546652263</v>
      </c>
      <c r="FG62" s="3">
        <f>FF62*(1+$AB$31)</f>
        <v>28000.929472118787</v>
      </c>
      <c r="FH62" s="3">
        <f>FG62*(1+$AB$31)</f>
        <v>28280.938766839976</v>
      </c>
      <c r="FI62" s="3">
        <f>FH62*(1+$AB$31)</f>
        <v>28563.748154508376</v>
      </c>
      <c r="FJ62" s="3">
        <f>FI62*(1+$AB$31)</f>
        <v>28849.385636053459</v>
      </c>
      <c r="FK62" s="3">
        <f>FJ62*(1+$AB$31)</f>
        <v>29137.879492413995</v>
      </c>
      <c r="FL62" s="3">
        <f>FK62*(1+$AB$31)</f>
        <v>29429.258287338136</v>
      </c>
    </row>
  </sheetData>
  <hyperlinks>
    <hyperlink ref="A1" location="Main!A1" display="Main" xr:uid="{21B57FA8-EA8B-4177-9C6F-64392625FC85}"/>
  </hyperlink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2025-04-07T03:20:45Z</dcterms:created>
  <dcterms:modified xsi:type="dcterms:W3CDTF">2025-08-15T02:01:52Z</dcterms:modified>
</cp:coreProperties>
</file>