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E5231C8-732D-4F16-A0BF-2F94340CE4CE}" xr6:coauthVersionLast="47" xr6:coauthVersionMax="47" xr10:uidLastSave="{00000000-0000-0000-0000-000000000000}"/>
  <bookViews>
    <workbookView xWindow="1140" yWindow="1095" windowWidth="23385" windowHeight="13140" activeTab="1" xr2:uid="{1D94FDB0-2145-47F5-95A2-96B69B0B8E6D}"/>
  </bookViews>
  <sheets>
    <sheet name="Main" sheetId="1" r:id="rId1"/>
    <sheet name="Model" sheetId="2" r:id="rId2"/>
    <sheet name="SIGMAR1" sheetId="6" r:id="rId3"/>
    <sheet name="Blarcamesine" sheetId="3" r:id="rId4"/>
    <sheet name="ANAVEX3-71" sheetId="4" r:id="rId5"/>
    <sheet name="ANAVEX1-41" sheetId="7" r:id="rId6"/>
    <sheet name="ANAVEX1066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D34" i="3"/>
  <c r="D35" i="3" s="1"/>
  <c r="L8" i="1"/>
  <c r="K8" i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E34" i="3" l="1"/>
  <c r="D37" i="3"/>
  <c r="E22" i="3"/>
  <c r="E21" i="3"/>
  <c r="E20" i="3"/>
  <c r="F34" i="3" l="1"/>
  <c r="E35" i="3"/>
  <c r="E37" i="3" s="1"/>
  <c r="H6" i="2"/>
  <c r="I6" i="2" s="1"/>
  <c r="J6" i="2" s="1"/>
  <c r="G6" i="2"/>
  <c r="F6" i="2"/>
  <c r="F10" i="2"/>
  <c r="E17" i="2"/>
  <c r="D9" i="2"/>
  <c r="E9" i="2"/>
  <c r="E11" i="2" s="1"/>
  <c r="E13" i="2" s="1"/>
  <c r="C9" i="2"/>
  <c r="D11" i="2"/>
  <c r="D13" i="2" s="1"/>
  <c r="C11" i="2"/>
  <c r="C13" i="2" s="1"/>
  <c r="C15" i="2" s="1"/>
  <c r="G8" i="2"/>
  <c r="G9" i="2" s="1"/>
  <c r="F8" i="2"/>
  <c r="F9" i="2" s="1"/>
  <c r="E8" i="2"/>
  <c r="D8" i="2"/>
  <c r="C8" i="2"/>
  <c r="D2" i="2"/>
  <c r="E2" i="2" s="1"/>
  <c r="F2" i="2" s="1"/>
  <c r="G2" i="2" s="1"/>
  <c r="H2" i="2" s="1"/>
  <c r="I2" i="2" s="1"/>
  <c r="J2" i="2" s="1"/>
  <c r="K5" i="1"/>
  <c r="K4" i="1"/>
  <c r="K7" i="1" s="1"/>
  <c r="G34" i="3" l="1"/>
  <c r="F35" i="3"/>
  <c r="F37" i="3"/>
  <c r="H8" i="2"/>
  <c r="H9" i="2" s="1"/>
  <c r="F11" i="2"/>
  <c r="F13" i="2" s="1"/>
  <c r="F17" i="2" s="1"/>
  <c r="H34" i="3" l="1"/>
  <c r="G35" i="3"/>
  <c r="G37" i="3"/>
  <c r="I8" i="2"/>
  <c r="I9" i="2" s="1"/>
  <c r="J8" i="2"/>
  <c r="J9" i="2" s="1"/>
  <c r="G10" i="2"/>
  <c r="G11" i="2" s="1"/>
  <c r="G13" i="2" s="1"/>
  <c r="G17" i="2" s="1"/>
  <c r="I34" i="3" l="1"/>
  <c r="H35" i="3"/>
  <c r="H37" i="3"/>
  <c r="H10" i="2"/>
  <c r="H11" i="2" s="1"/>
  <c r="H13" i="2" s="1"/>
  <c r="H17" i="2" s="1"/>
  <c r="I10" i="2" s="1"/>
  <c r="I11" i="2" s="1"/>
  <c r="I13" i="2" s="1"/>
  <c r="I17" i="2" s="1"/>
  <c r="J34" i="3" l="1"/>
  <c r="I35" i="3"/>
  <c r="I37" i="3"/>
  <c r="J10" i="2"/>
  <c r="J11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K34" i="3" l="1"/>
  <c r="J35" i="3"/>
  <c r="J37" i="3"/>
  <c r="J17" i="2"/>
  <c r="L34" i="3" l="1"/>
  <c r="K35" i="3"/>
  <c r="K37" i="3"/>
  <c r="M34" i="3" l="1"/>
  <c r="L35" i="3"/>
  <c r="L37" i="3"/>
  <c r="N34" i="3" l="1"/>
  <c r="M35" i="3"/>
  <c r="M37" i="3"/>
  <c r="O34" i="3" l="1"/>
  <c r="N35" i="3"/>
  <c r="N37" i="3" s="1"/>
  <c r="P34" i="3" l="1"/>
  <c r="O35" i="3"/>
  <c r="O37" i="3"/>
  <c r="Q34" i="3" l="1"/>
  <c r="P35" i="3"/>
  <c r="P37" i="3"/>
  <c r="R34" i="3" l="1"/>
  <c r="Q35" i="3"/>
  <c r="Q37" i="3"/>
  <c r="S34" i="3" l="1"/>
  <c r="R35" i="3"/>
  <c r="R37" i="3"/>
  <c r="T34" i="3" l="1"/>
  <c r="T35" i="3" s="1"/>
  <c r="S35" i="3"/>
  <c r="T37" i="3"/>
  <c r="S37" i="3"/>
  <c r="D40" i="3" l="1"/>
  <c r="M18" i="2" s="1"/>
  <c r="M19" i="2" s="1"/>
  <c r="M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tc={37027111-C0AE-440E-91EE-62163C5A51AE}</author>
  </authors>
  <commentList>
    <comment ref="E3" authorId="0" shapeId="0" xr:uid="{37027111-C0AE-440E-91EE-62163C5A51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endogenous ligand has been conclusively identified for the sigma-1 receptor </t>
      </text>
    </comment>
  </commentList>
</comments>
</file>

<file path=xl/sharedStrings.xml><?xml version="1.0" encoding="utf-8"?>
<sst xmlns="http://schemas.openxmlformats.org/spreadsheetml/2006/main" count="140" uniqueCount="103">
  <si>
    <t>Price</t>
  </si>
  <si>
    <t>Shares</t>
  </si>
  <si>
    <t>MC</t>
  </si>
  <si>
    <t>Cash</t>
  </si>
  <si>
    <t>Debt</t>
  </si>
  <si>
    <t>EV</t>
  </si>
  <si>
    <t>Q225</t>
  </si>
  <si>
    <t>Main</t>
  </si>
  <si>
    <t>Revenue</t>
  </si>
  <si>
    <t>COGS</t>
  </si>
  <si>
    <t>Gross Profit</t>
  </si>
  <si>
    <t>G&amp;A</t>
  </si>
  <si>
    <t>R&amp;D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</si>
  <si>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</si>
  <si>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</si>
  <si>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</si>
  <si>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</si>
  <si>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</si>
  <si>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</si>
  <si>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</si>
  <si>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Net Cash</t>
  </si>
  <si>
    <t>ROIC</t>
  </si>
  <si>
    <t>Maturity</t>
  </si>
  <si>
    <t>Discount</t>
  </si>
  <si>
    <t>NPV</t>
  </si>
  <si>
    <t>Share</t>
  </si>
  <si>
    <t>Name</t>
  </si>
  <si>
    <t>Indication</t>
  </si>
  <si>
    <t>MOA</t>
  </si>
  <si>
    <t>Economics</t>
  </si>
  <si>
    <t>IP</t>
  </si>
  <si>
    <t>Phase</t>
  </si>
  <si>
    <t>ANAVEX 2-73 (Blarcamesine)</t>
  </si>
  <si>
    <t>ANAVEX 3-71 (AF710B)</t>
  </si>
  <si>
    <t>ANAVEX 1-41</t>
  </si>
  <si>
    <t>ANAVEX 1066</t>
  </si>
  <si>
    <t>AD, Dementia, PD</t>
  </si>
  <si>
    <t>III</t>
  </si>
  <si>
    <t>II / I</t>
  </si>
  <si>
    <t>Dementia, AD, Schizophrenia</t>
  </si>
  <si>
    <t>I</t>
  </si>
  <si>
    <t>SIGMA-1 Receptor</t>
  </si>
  <si>
    <t>SIGMACEPTOR</t>
  </si>
  <si>
    <t xml:space="preserve"> </t>
  </si>
  <si>
    <t>Visceral, Acute, Neuropathic Pain</t>
  </si>
  <si>
    <t>Depression, Stroke</t>
  </si>
  <si>
    <t>https://link.springer.com/chapter/10.1007/164_2017_8</t>
  </si>
  <si>
    <t>Clinical Trials</t>
  </si>
  <si>
    <t>Brand</t>
  </si>
  <si>
    <t>Generic</t>
  </si>
  <si>
    <t>Blarcamesine</t>
  </si>
  <si>
    <t>ANAVEX 2-73</t>
  </si>
  <si>
    <t>AD, PD, Dementia, Rett Syndrome, Fragile X Syndrome, Infantile Spasms, Angelman Syndrome</t>
  </si>
  <si>
    <t>Regulatory</t>
  </si>
  <si>
    <t>OLE, 96/144-week trial</t>
  </si>
  <si>
    <t>once-daily oral</t>
  </si>
  <si>
    <t xml:space="preserve">48-week double-blind </t>
  </si>
  <si>
    <t>50mg</t>
  </si>
  <si>
    <t>30mg</t>
  </si>
  <si>
    <t>placebo</t>
  </si>
  <si>
    <t>AE</t>
  </si>
  <si>
    <t>n</t>
  </si>
  <si>
    <t>biomarker Abeta42 only significance</t>
  </si>
  <si>
    <t>FDA may consider approval with only one co-primary endpoint in Early stages 1 and 2 and early 3 with robust evidence</t>
  </si>
  <si>
    <t>US Patient Pool</t>
  </si>
  <si>
    <t>Treated</t>
  </si>
  <si>
    <t>Studies:</t>
  </si>
  <si>
    <r>
      <t>high Aβ42 predicts preserved cognition and a lower risk of progression to dementia</t>
    </r>
    <r>
      <rPr>
        <sz val="12"/>
        <color theme="1"/>
        <rFont val="Courier New"/>
        <family val="3"/>
      </rPr>
      <t>24</t>
    </r>
  </si>
  <si>
    <t>https://pmc.ncbi.nlm.nih.gov/articles/PMC9661329/</t>
  </si>
  <si>
    <t>https://www.thelancet.com/journals/eclinm/article/PIIS2589-5370(21)00268-6/fulltext</t>
  </si>
  <si>
    <t>BV/Share</t>
  </si>
  <si>
    <t>Phase 2/3 Rett Syndrome "EXCELLENCE"</t>
  </si>
  <si>
    <t>Failed</t>
  </si>
  <si>
    <t>Phase 2 OLE Study PD w/ Dementia "ANAVEX2-73-PDD-001"</t>
  </si>
  <si>
    <t>Significance only at 48-week in ADAS-Cog but not in co-primary endpoint ADCS-ADL</t>
  </si>
  <si>
    <t>Phase 2b/3 "ATTENTION-AD AD-004" n=508</t>
  </si>
  <si>
    <t>"For the primary analysis, the model assumed the missing data to be missing at random without imputation"</t>
  </si>
  <si>
    <t>"Most enrolled partic- ipants would be characterized as early AD (Stage 3) [38] with base- line MMSE score 20–28, and the majority were on background ther- apy of cholinesterase inhibitors (ChEIs) and/or memantine to treat AD "</t>
  </si>
  <si>
    <t>Placebo</t>
  </si>
  <si>
    <t>Blarcamine Group</t>
  </si>
  <si>
    <t>Blarcamine 50mg</t>
  </si>
  <si>
    <t>Blarcamine 30mg</t>
  </si>
  <si>
    <t>SIGMA-1 agonist</t>
  </si>
  <si>
    <t>EMA filed</t>
  </si>
  <si>
    <t>Co-primary endpoint changed from ADAS-Cog13+ADCS-ADL to ADAS-Cog+CDR-SB</t>
  </si>
  <si>
    <t>ADCS-ADL failed blamed sensitivity of scale</t>
  </si>
  <si>
    <t>Blarcamesine and placebo groups had 72 (75%) and 16 (57.2%) patient discontinuations in this early titration phase on or before Week 24, primarily due to TEAEs (Supplemental Table 2, Supplemental Figure 2). 40 (41.7%) blarcamesine patients and 5 (17.9%) placebo patients dropped out on or before the ﬁrst analysis visit (Week 12).</t>
  </si>
  <si>
    <t>https://www.ncbi.nlm.nih.gov/gene/10280</t>
  </si>
  <si>
    <t>SIGMAR1</t>
  </si>
  <si>
    <t>SIGMAR1 found to be involved in pain signaling</t>
  </si>
  <si>
    <t>"This gene encodes a receptor protein that interacts with a variety of psychotomimetic drugs, including cocaine and amphetamines"</t>
  </si>
  <si>
    <t>Source</t>
  </si>
  <si>
    <t>Description</t>
  </si>
  <si>
    <t>sigma non-opioid intracellular receptor 1</t>
  </si>
  <si>
    <t>https://www.nature.com/articles/s44161-021-00016-2</t>
  </si>
  <si>
    <t>https://www.nature.com/articles/s41467-022-28946-w</t>
  </si>
  <si>
    <t>https://www.nature.com/articles/s42003-025-07590-2</t>
  </si>
  <si>
    <t>https://en.wikipedia.org/wiki/NE-100</t>
  </si>
  <si>
    <t>https://en.wikipedia.org/wiki/Cutamesine</t>
  </si>
  <si>
    <t>local activation in the ACC specifically promotes depression-pain comorbidity While global SIGMAR1 activation may be neuroprotective in many contexts</t>
  </si>
  <si>
    <t>IMPORTANT</t>
  </si>
  <si>
    <t>"mixed Sigma-1/Sigma-2 receptor ligand"</t>
  </si>
  <si>
    <t>"SIGMAR1 agonism with M1 muscarinic receptor modulation"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</si>
</sst>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2"/>
      <color theme="1"/>
      <name val="Segoe UI"/>
      <family val="2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1" applyNumberForma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2" fillId="0" borderId="3" xfId="1" applyBorder="1"/>
    <xf numFmtId="0" fontId="0" fillId="0" borderId="0" xfId="0" applyAlignment="1">
      <alignment horizontal="center"/>
    </xf>
    <xf numFmtId="0" fontId="2" fillId="0" borderId="1" xfId="1" applyBorder="1"/>
    <xf numFmtId="0" fontId="2" fillId="0" borderId="0" xfId="1"/>
    <xf numFmtId="9" fontId="0" fillId="0" borderId="2" xfId="0" applyNumberFormat="1" applyBorder="1"/>
    <xf numFmtId="9" fontId="0" fillId="0" borderId="6" xfId="0" applyNumberFormat="1" applyBorder="1"/>
    <xf numFmtId="0" fontId="2" fillId="0" borderId="5" xfId="1" applyBorder="1"/>
    <xf numFmtId="0" fontId="2" fillId="0" borderId="2" xfId="1" applyBorder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9525</xdr:colOff>
      <xdr:row>43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E5FA2CB-B655-08C3-F95F-95E2FEC5F851}"/>
            </a:ext>
          </a:extLst>
        </xdr:cNvPr>
        <xdr:cNvCxnSpPr/>
      </xdr:nvCxnSpPr>
      <xdr:spPr>
        <a:xfrm flipH="1">
          <a:off x="3333750" y="0"/>
          <a:ext cx="9525" cy="7086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303609</xdr:colOff>
      <xdr:row>47</xdr:row>
      <xdr:rowOff>0</xdr:rowOff>
    </xdr:from>
    <xdr:to>
      <xdr:col>12</xdr:col>
      <xdr:colOff>298673</xdr:colOff>
      <xdr:row>71</xdr:row>
      <xdr:rowOff>152960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703C82-DC7B-E59D-D518-A14E4DEC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609" y="6798469"/>
          <a:ext cx="7287642" cy="4010585"/>
        </a:xfrm>
        <a:prstGeom prst="rect">
          <a:avLst/>
        </a:prstGeom>
      </xdr:spPr>
    </xdr:pic>
    <xdr:clientData/>
  </xdr:twoCellAnchor>
  <xdr:twoCellAnchor editAs="oneCell">
    <xdr:from>
      <xdr:col>0</xdr:col>
      <xdr:colOff>303609</xdr:colOff>
      <xdr:row>74</xdr:row>
      <xdr:rowOff>23813</xdr:rowOff>
    </xdr:from>
    <xdr:to>
      <xdr:col>11</xdr:col>
      <xdr:colOff>162838</xdr:colOff>
      <xdr:row>76</xdr:row>
      <xdr:rowOff>111976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46CBD-3AF9-A462-D85B-E8A3232BB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609" y="11322844"/>
          <a:ext cx="6544588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303609</xdr:colOff>
      <xdr:row>78</xdr:row>
      <xdr:rowOff>0</xdr:rowOff>
    </xdr:from>
    <xdr:to>
      <xdr:col>13</xdr:col>
      <xdr:colOff>72507</xdr:colOff>
      <xdr:row>94</xdr:row>
      <xdr:rowOff>95622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078B04-CC24-16AC-79A0-4B7CD0461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609" y="11941969"/>
          <a:ext cx="7668695" cy="26673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98489494-423A-8980-0076-5C56B4BA57D8}"/>
            </a:ext>
          </a:extLst>
        </xdr:cNvPr>
        <xdr:cNvSpPr>
          <a:spLocks noChangeAspect="1" noChangeArrowheads="1"/>
        </xdr:cNvSpPr>
      </xdr:nvSpPr>
      <xdr:spPr bwMode="auto">
        <a:xfrm>
          <a:off x="304800" y="1494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142875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55A39A84-852E-A126-586D-28C77B828556}"/>
            </a:ext>
          </a:extLst>
        </xdr:cNvPr>
        <xdr:cNvSpPr>
          <a:spLocks noChangeAspect="1" noChangeArrowheads="1"/>
        </xdr:cNvSpPr>
      </xdr:nvSpPr>
      <xdr:spPr bwMode="auto">
        <a:xfrm>
          <a:off x="304800" y="1494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250372</xdr:colOff>
      <xdr:row>95</xdr:row>
      <xdr:rowOff>103135</xdr:rowOff>
    </xdr:from>
    <xdr:to>
      <xdr:col>11</xdr:col>
      <xdr:colOff>336362</xdr:colOff>
      <xdr:row>118</xdr:row>
      <xdr:rowOff>130630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297703-C7DF-CCDE-B4CF-B31E6F57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372" y="15664264"/>
          <a:ext cx="6797033" cy="3783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142875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7227858A-A8CF-BCFD-8D71-71FE0E4094F8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142875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CEB6947-C97C-44B1-7FFF-47E922C505A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A1CC41CF-3C64-084A-D8DD-39A13B90E060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136FD50F-BC5F-B7D4-4CAD-C22A99D654B0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4AD7C70D-5E40-C2B5-B71A-3976AED47F12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CB083F9A-62E1-1E6A-5840-94E68BCE9CC1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368B4A2-5DDA-D49D-4768-B01395C71704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83B9B180-2DBF-D7AE-B688-3343F4D26F5D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F28220F5-DA3F-BEF6-BEDA-1B8425A66EB7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DB1CCF9F-EE7B-F9D9-9E83-51EED28405AB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7" name="AutoShape 11">
          <a:extLst>
            <a:ext uri="{FF2B5EF4-FFF2-40B4-BE49-F238E27FC236}">
              <a16:creationId xmlns:a16="http://schemas.microsoft.com/office/drawing/2014/main" id="{50E92E11-4FAC-A068-F4B5-DCB17EEDA348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08" name="AutoShape 12">
          <a:extLst>
            <a:ext uri="{FF2B5EF4-FFF2-40B4-BE49-F238E27FC236}">
              <a16:creationId xmlns:a16="http://schemas.microsoft.com/office/drawing/2014/main" id="{A3C57610-F8AB-5F33-CB5B-0F76EA437457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142875</xdr:rowOff>
    </xdr:to>
    <xdr:sp macro="" textlink="">
      <xdr:nvSpPr>
        <xdr:cNvPr id="4110" name="AutoShape 14">
          <a:extLst>
            <a:ext uri="{FF2B5EF4-FFF2-40B4-BE49-F238E27FC236}">
              <a16:creationId xmlns:a16="http://schemas.microsoft.com/office/drawing/2014/main" id="{5D1FED3C-F412-EDDC-984B-09E41FC74F19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17</xdr:col>
      <xdr:colOff>457200</xdr:colOff>
      <xdr:row>153</xdr:row>
      <xdr:rowOff>142875</xdr:rowOff>
    </xdr:to>
    <xdr:sp macro="" textlink="">
      <xdr:nvSpPr>
        <xdr:cNvPr id="4111" name="AutoShape 15">
          <a:extLst>
            <a:ext uri="{FF2B5EF4-FFF2-40B4-BE49-F238E27FC236}">
              <a16:creationId xmlns:a16="http://schemas.microsoft.com/office/drawing/2014/main" id="{B981D6E0-CA14-B729-2548-1F0016BC1BFB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9964400"/>
          <a:ext cx="9124950" cy="500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304800</xdr:colOff>
      <xdr:row>124</xdr:row>
      <xdr:rowOff>142875</xdr:rowOff>
    </xdr:to>
    <xdr:sp macro="" textlink="">
      <xdr:nvSpPr>
        <xdr:cNvPr id="4112" name="AutoShape 16">
          <a:extLst>
            <a:ext uri="{FF2B5EF4-FFF2-40B4-BE49-F238E27FC236}">
              <a16:creationId xmlns:a16="http://schemas.microsoft.com/office/drawing/2014/main" id="{AF7CA8C2-3B89-5CE5-02D7-1F0BD933E4D4}"/>
            </a:ext>
          </a:extLst>
        </xdr:cNvPr>
        <xdr:cNvSpPr>
          <a:spLocks noChangeAspect="1" noChangeArrowheads="1"/>
        </xdr:cNvSpPr>
      </xdr:nvSpPr>
      <xdr:spPr bwMode="auto">
        <a:xfrm>
          <a:off x="108585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304800</xdr:colOff>
      <xdr:row>46</xdr:row>
      <xdr:rowOff>142875</xdr:rowOff>
    </xdr:to>
    <xdr:sp macro="" textlink="">
      <xdr:nvSpPr>
        <xdr:cNvPr id="4113" name="AutoShape 17">
          <a:extLst>
            <a:ext uri="{FF2B5EF4-FFF2-40B4-BE49-F238E27FC236}">
              <a16:creationId xmlns:a16="http://schemas.microsoft.com/office/drawing/2014/main" id="{52509313-7944-4C3B-46F5-E4401C70101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3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301091</xdr:colOff>
      <xdr:row>119</xdr:row>
      <xdr:rowOff>149068</xdr:rowOff>
    </xdr:from>
    <xdr:to>
      <xdr:col>11</xdr:col>
      <xdr:colOff>38100</xdr:colOff>
      <xdr:row>141</xdr:row>
      <xdr:rowOff>95590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5B89FE-8E48-CD67-6859-11BDD683B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1091" y="19629054"/>
          <a:ext cx="6448052" cy="3538807"/>
        </a:xfrm>
        <a:prstGeom prst="rect">
          <a:avLst/>
        </a:prstGeom>
      </xdr:spPr>
    </xdr:pic>
    <xdr:clientData/>
  </xdr:twoCellAnchor>
  <xdr:twoCellAnchor editAs="oneCell">
    <xdr:from>
      <xdr:col>11</xdr:col>
      <xdr:colOff>284761</xdr:colOff>
      <xdr:row>120</xdr:row>
      <xdr:rowOff>21771</xdr:rowOff>
    </xdr:from>
    <xdr:to>
      <xdr:col>22</xdr:col>
      <xdr:colOff>327725</xdr:colOff>
      <xdr:row>148</xdr:row>
      <xdr:rowOff>121854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E6806D-7ACC-8914-09C7-5DEF464C5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95804" y="19665042"/>
          <a:ext cx="6748564" cy="4672083"/>
        </a:xfrm>
        <a:prstGeom prst="rect">
          <a:avLst/>
        </a:prstGeom>
      </xdr:spPr>
    </xdr:pic>
    <xdr:clientData/>
  </xdr:twoCellAnchor>
  <xdr:twoCellAnchor editAs="oneCell">
    <xdr:from>
      <xdr:col>11</xdr:col>
      <xdr:colOff>593271</xdr:colOff>
      <xdr:row>95</xdr:row>
      <xdr:rowOff>148391</xdr:rowOff>
    </xdr:from>
    <xdr:to>
      <xdr:col>22</xdr:col>
      <xdr:colOff>1</xdr:colOff>
      <xdr:row>118</xdr:row>
      <xdr:rowOff>99053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B556E0-4B6B-EBBE-751B-55048D5CE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04314" y="15709520"/>
          <a:ext cx="6112330" cy="37062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F86858ED-4DB2-45FF-958A-B70A59190FE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5-07-01T01:34:48.56" personId="{F86858ED-4DB2-45FF-958A-B70A59190FE8}" id="{37027111-C0AE-440E-91EE-62163C5A51AE}">
    <text xml:space="preserve">no endogenous ligand has been conclusively identified for the sigma-1 receptor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ature.com/articles/s42003-025-07590-2" TargetMode="External"/><Relationship Id="rId1" Type="http://schemas.openxmlformats.org/officeDocument/2006/relationships/hyperlink" Target="https://link.springer.com/chapter/10.1007/164_2017_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mc.ncbi.nlm.nih.gov/articles/PMC96613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3A4E-FCDB-452F-B8FF-A8711454E448}">
  <dimension ref="B2:L8"/>
  <sheetViews>
    <sheetView zoomScale="115" zoomScaleNormal="115" workbookViewId="0">
      <selection activeCell="C22" sqref="C22"/>
    </sheetView>
  </sheetViews>
  <sheetFormatPr defaultRowHeight="12.75" x14ac:dyDescent="0.2"/>
  <cols>
    <col min="1" max="1" width="3" customWidth="1"/>
    <col min="2" max="2" width="25" customWidth="1"/>
    <col min="3" max="3" width="23.85546875" customWidth="1"/>
    <col min="4" max="4" width="7" customWidth="1"/>
    <col min="5" max="5" width="15.7109375" customWidth="1"/>
    <col min="6" max="6" width="9.140625" customWidth="1"/>
    <col min="7" max="7" width="14.42578125" customWidth="1"/>
    <col min="8" max="8" width="4.5703125" customWidth="1"/>
    <col min="9" max="9" width="4.7109375" customWidth="1"/>
  </cols>
  <sheetData>
    <row r="2" spans="2:12" x14ac:dyDescent="0.2">
      <c r="B2" s="12" t="s">
        <v>26</v>
      </c>
      <c r="C2" s="13" t="s">
        <v>27</v>
      </c>
      <c r="D2" s="13" t="s">
        <v>31</v>
      </c>
      <c r="E2" s="13" t="s">
        <v>28</v>
      </c>
      <c r="F2" s="13" t="s">
        <v>29</v>
      </c>
      <c r="G2" s="14" t="s">
        <v>30</v>
      </c>
      <c r="J2" t="s">
        <v>0</v>
      </c>
      <c r="K2" s="1">
        <v>9.24</v>
      </c>
    </row>
    <row r="3" spans="2:12" x14ac:dyDescent="0.2">
      <c r="B3" s="18" t="s">
        <v>32</v>
      </c>
      <c r="C3" s="15" t="s">
        <v>36</v>
      </c>
      <c r="D3" s="7" t="s">
        <v>37</v>
      </c>
      <c r="E3" s="23" t="s">
        <v>41</v>
      </c>
      <c r="F3" s="20">
        <v>1</v>
      </c>
      <c r="G3" s="8" t="s">
        <v>42</v>
      </c>
      <c r="J3" t="s">
        <v>1</v>
      </c>
      <c r="K3" s="2">
        <v>85.372</v>
      </c>
      <c r="L3" t="s">
        <v>6</v>
      </c>
    </row>
    <row r="4" spans="2:12" x14ac:dyDescent="0.2">
      <c r="B4" s="16" t="s">
        <v>33</v>
      </c>
      <c r="C4" t="s">
        <v>39</v>
      </c>
      <c r="D4" s="17" t="s">
        <v>38</v>
      </c>
      <c r="E4" t="s">
        <v>102</v>
      </c>
      <c r="F4" s="4">
        <v>1</v>
      </c>
      <c r="G4" s="8" t="s">
        <v>42</v>
      </c>
      <c r="J4" t="s">
        <v>2</v>
      </c>
      <c r="K4" s="2">
        <f>K3*K2</f>
        <v>788.83727999999996</v>
      </c>
    </row>
    <row r="5" spans="2:12" x14ac:dyDescent="0.2">
      <c r="B5" s="16" t="s">
        <v>34</v>
      </c>
      <c r="C5" t="s">
        <v>45</v>
      </c>
      <c r="D5" s="17" t="s">
        <v>40</v>
      </c>
      <c r="E5" t="s">
        <v>41</v>
      </c>
      <c r="F5" s="4">
        <v>1</v>
      </c>
      <c r="G5" s="8" t="s">
        <v>42</v>
      </c>
      <c r="J5" t="s">
        <v>3</v>
      </c>
      <c r="K5" s="2">
        <f>115.771</f>
        <v>115.771</v>
      </c>
      <c r="L5" t="s">
        <v>6</v>
      </c>
    </row>
    <row r="6" spans="2:12" x14ac:dyDescent="0.2">
      <c r="B6" s="22" t="s">
        <v>35</v>
      </c>
      <c r="C6" s="9" t="s">
        <v>44</v>
      </c>
      <c r="D6" s="10" t="s">
        <v>40</v>
      </c>
      <c r="E6" s="9" t="s">
        <v>101</v>
      </c>
      <c r="F6" s="21">
        <v>1</v>
      </c>
      <c r="G6" s="11" t="s">
        <v>42</v>
      </c>
      <c r="J6" t="s">
        <v>4</v>
      </c>
      <c r="K6" s="2">
        <v>0</v>
      </c>
      <c r="L6" t="s">
        <v>6</v>
      </c>
    </row>
    <row r="7" spans="2:12" x14ac:dyDescent="0.2">
      <c r="J7" t="s">
        <v>5</v>
      </c>
      <c r="K7" s="2">
        <f>K4+K6-K5</f>
        <v>673.06628000000001</v>
      </c>
    </row>
    <row r="8" spans="2:12" x14ac:dyDescent="0.2">
      <c r="B8" t="s">
        <v>43</v>
      </c>
      <c r="F8" s="4"/>
      <c r="J8" t="s">
        <v>70</v>
      </c>
      <c r="K8" s="1">
        <f>K5/K3</f>
        <v>1.3560769338893315</v>
      </c>
      <c r="L8" s="1">
        <f>K8*2</f>
        <v>2.712153867778663</v>
      </c>
    </row>
  </sheetData>
  <hyperlinks>
    <hyperlink ref="B3" location="Blarcamesine!A1" display="ANAVEX 2-73 (Blarcamesine)" xr:uid="{E1A20B33-E6B5-475F-B772-6322DF36FBD2}"/>
    <hyperlink ref="B4" location="AF710B!A1" display="ANAVEX 3-71 (AF710B)" xr:uid="{5B696B3F-CBE7-4E8B-A3B0-57B54284F7F2}"/>
    <hyperlink ref="B6" location="ANAVEX1066!A1" display="ANAVEX 1066" xr:uid="{70470361-44EA-498B-940D-21C0B8C4F317}"/>
    <hyperlink ref="E3" location="SIGMAR1!A1" display="SIGMA-1 Receptor" xr:uid="{D68FCD09-2952-4EA5-A5E2-B83F88177566}"/>
    <hyperlink ref="B5" location="'ANAVEX1-41'!A1" display="ANAVEX 1-41" xr:uid="{486772F3-0AE2-4E5D-BC9E-EBEC5BA5063D}"/>
  </hyperlink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65E8-C51A-4FC3-91B6-B2B23450DFD5}">
  <dimension ref="A1:CY20"/>
  <sheetViews>
    <sheetView tabSelected="1" zoomScale="130" zoomScaleNormal="13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RowHeight="12.75" x14ac:dyDescent="0.2"/>
  <cols>
    <col min="1" max="1" width="4.7109375" style="2" customWidth="1"/>
    <col min="2" max="2" width="17.85546875" style="2" customWidth="1"/>
    <col min="3" max="16384" width="9.140625" style="2"/>
  </cols>
  <sheetData>
    <row r="1" spans="1:103" x14ac:dyDescent="0.2">
      <c r="A1" s="6" t="s">
        <v>7</v>
      </c>
    </row>
    <row r="2" spans="1:103" x14ac:dyDescent="0.2">
      <c r="C2" s="3">
        <v>2023</v>
      </c>
      <c r="D2" s="3">
        <f>C2+1</f>
        <v>2024</v>
      </c>
      <c r="E2" s="3">
        <f t="shared" ref="E2:J2" si="0">D2+1</f>
        <v>2025</v>
      </c>
      <c r="F2" s="3">
        <f t="shared" si="0"/>
        <v>2026</v>
      </c>
      <c r="G2" s="3">
        <f t="shared" si="0"/>
        <v>2027</v>
      </c>
      <c r="H2" s="3">
        <f t="shared" si="0"/>
        <v>2028</v>
      </c>
      <c r="I2" s="3">
        <f t="shared" si="0"/>
        <v>2029</v>
      </c>
      <c r="J2" s="3">
        <f t="shared" si="0"/>
        <v>2030</v>
      </c>
    </row>
    <row r="3" spans="1:103" s="5" customFormat="1" x14ac:dyDescent="0.2">
      <c r="A3" s="2"/>
      <c r="B3" s="5" t="s">
        <v>8</v>
      </c>
    </row>
    <row r="4" spans="1:103" x14ac:dyDescent="0.2">
      <c r="B4" s="2" t="s">
        <v>9</v>
      </c>
    </row>
    <row r="5" spans="1:103" x14ac:dyDescent="0.2">
      <c r="B5" s="2" t="s">
        <v>10</v>
      </c>
    </row>
    <row r="6" spans="1:103" x14ac:dyDescent="0.2">
      <c r="B6" s="2" t="s">
        <v>11</v>
      </c>
      <c r="C6" s="2">
        <v>12.04</v>
      </c>
      <c r="D6" s="2">
        <v>11.04</v>
      </c>
      <c r="F6" s="2">
        <f>D6*1.04</f>
        <v>11.4816</v>
      </c>
      <c r="G6" s="2">
        <f>F6*1.04</f>
        <v>11.940864000000001</v>
      </c>
      <c r="H6" s="2">
        <f t="shared" ref="H6:J6" si="1">G6*1.04</f>
        <v>12.418498560000002</v>
      </c>
      <c r="I6" s="2">
        <f t="shared" si="1"/>
        <v>12.915238502400001</v>
      </c>
      <c r="J6" s="2">
        <f t="shared" si="1"/>
        <v>13.431848042496002</v>
      </c>
    </row>
    <row r="7" spans="1:103" x14ac:dyDescent="0.2">
      <c r="B7" s="2" t="s">
        <v>12</v>
      </c>
      <c r="C7" s="2">
        <v>43.7</v>
      </c>
      <c r="D7" s="2">
        <v>41.8</v>
      </c>
    </row>
    <row r="8" spans="1:103" x14ac:dyDescent="0.2">
      <c r="B8" s="2" t="s">
        <v>13</v>
      </c>
      <c r="C8" s="2">
        <f t="shared" ref="C8:J8" si="2">SUM(C6:C7)</f>
        <v>55.74</v>
      </c>
      <c r="D8" s="2">
        <f t="shared" si="2"/>
        <v>52.839999999999996</v>
      </c>
      <c r="E8" s="2">
        <f t="shared" si="2"/>
        <v>0</v>
      </c>
      <c r="F8" s="2">
        <f t="shared" si="2"/>
        <v>11.4816</v>
      </c>
      <c r="G8" s="2">
        <f t="shared" si="2"/>
        <v>11.940864000000001</v>
      </c>
      <c r="H8" s="2">
        <f t="shared" si="2"/>
        <v>12.418498560000002</v>
      </c>
      <c r="I8" s="2">
        <f t="shared" si="2"/>
        <v>12.915238502400001</v>
      </c>
      <c r="J8" s="2">
        <f t="shared" si="2"/>
        <v>13.431848042496002</v>
      </c>
    </row>
    <row r="9" spans="1:103" x14ac:dyDescent="0.2">
      <c r="B9" s="2" t="s">
        <v>14</v>
      </c>
      <c r="C9" s="2">
        <f>C5-C8</f>
        <v>-55.74</v>
      </c>
      <c r="D9" s="2">
        <f t="shared" ref="D9:J9" si="3">D5-D8</f>
        <v>-52.839999999999996</v>
      </c>
      <c r="E9" s="2">
        <f t="shared" si="3"/>
        <v>0</v>
      </c>
      <c r="F9" s="2">
        <f t="shared" si="3"/>
        <v>-11.4816</v>
      </c>
      <c r="G9" s="2">
        <f t="shared" si="3"/>
        <v>-11.940864000000001</v>
      </c>
      <c r="H9" s="2">
        <f t="shared" si="3"/>
        <v>-12.418498560000002</v>
      </c>
      <c r="I9" s="2">
        <f t="shared" si="3"/>
        <v>-12.915238502400001</v>
      </c>
      <c r="J9" s="2">
        <f t="shared" si="3"/>
        <v>-13.431848042496002</v>
      </c>
    </row>
    <row r="10" spans="1:103" x14ac:dyDescent="0.2">
      <c r="B10" s="2" t="s">
        <v>15</v>
      </c>
      <c r="C10" s="2">
        <v>6.52</v>
      </c>
      <c r="D10" s="2">
        <v>7.32</v>
      </c>
      <c r="F10" s="2">
        <f>E17*$M$15</f>
        <v>2.3199999999999998</v>
      </c>
      <c r="G10" s="2">
        <f>F17*$M$15</f>
        <v>2.136768</v>
      </c>
      <c r="H10" s="2">
        <f>G17*$M$15</f>
        <v>1.9406860800000001</v>
      </c>
      <c r="I10" s="2">
        <f>H17*$M$15</f>
        <v>1.7311298304000002</v>
      </c>
      <c r="J10" s="2">
        <f>I17*$M$15</f>
        <v>1.5074476569600002</v>
      </c>
    </row>
    <row r="11" spans="1:103" x14ac:dyDescent="0.2">
      <c r="B11" s="2" t="s">
        <v>16</v>
      </c>
      <c r="C11" s="2">
        <f>C9+C10</f>
        <v>-49.22</v>
      </c>
      <c r="D11" s="2">
        <f t="shared" ref="D11:J11" si="4">D9+D10</f>
        <v>-45.519999999999996</v>
      </c>
      <c r="E11" s="2">
        <f t="shared" si="4"/>
        <v>0</v>
      </c>
      <c r="F11" s="2">
        <f t="shared" si="4"/>
        <v>-9.1616</v>
      </c>
      <c r="G11" s="2">
        <f t="shared" si="4"/>
        <v>-9.8040960000000013</v>
      </c>
      <c r="H11" s="2">
        <f t="shared" si="4"/>
        <v>-10.477812480000001</v>
      </c>
      <c r="I11" s="2">
        <f t="shared" si="4"/>
        <v>-11.184108672000001</v>
      </c>
      <c r="J11" s="2">
        <f t="shared" si="4"/>
        <v>-11.924400385536002</v>
      </c>
    </row>
    <row r="12" spans="1:103" x14ac:dyDescent="0.2">
      <c r="B12" s="2" t="s">
        <v>17</v>
      </c>
    </row>
    <row r="13" spans="1:103" x14ac:dyDescent="0.2">
      <c r="B13" s="2" t="s">
        <v>18</v>
      </c>
      <c r="C13" s="2">
        <f>C11-C12</f>
        <v>-49.22</v>
      </c>
      <c r="D13" s="2">
        <f t="shared" ref="D13:J13" si="5">D11-D12</f>
        <v>-45.519999999999996</v>
      </c>
      <c r="E13" s="2">
        <f t="shared" si="5"/>
        <v>0</v>
      </c>
      <c r="F13" s="2">
        <f t="shared" si="5"/>
        <v>-9.1616</v>
      </c>
      <c r="G13" s="2">
        <f t="shared" si="5"/>
        <v>-9.8040960000000013</v>
      </c>
      <c r="H13" s="2">
        <f t="shared" si="5"/>
        <v>-10.477812480000001</v>
      </c>
      <c r="I13" s="2">
        <f t="shared" si="5"/>
        <v>-11.184108672000001</v>
      </c>
      <c r="J13" s="2">
        <f t="shared" si="5"/>
        <v>-11.924400385536002</v>
      </c>
      <c r="K13" s="2">
        <f>J13*(1+$M$16)</f>
        <v>-11.805156381680641</v>
      </c>
      <c r="L13" s="2">
        <f t="shared" ref="L13:BW13" si="6">K13*(1+$M$16)</f>
        <v>-11.687104817863835</v>
      </c>
      <c r="M13" s="2">
        <f t="shared" si="6"/>
        <v>-11.570233769685197</v>
      </c>
      <c r="N13" s="2">
        <f t="shared" si="6"/>
        <v>-11.454531431988345</v>
      </c>
      <c r="O13" s="2">
        <f t="shared" si="6"/>
        <v>-11.339986117668461</v>
      </c>
      <c r="P13" s="2">
        <f t="shared" si="6"/>
        <v>-11.226586256491776</v>
      </c>
      <c r="Q13" s="2">
        <f t="shared" si="6"/>
        <v>-11.114320393926858</v>
      </c>
      <c r="R13" s="2">
        <f t="shared" si="6"/>
        <v>-11.003177189987589</v>
      </c>
      <c r="S13" s="2">
        <f t="shared" si="6"/>
        <v>-10.893145418087713</v>
      </c>
      <c r="T13" s="2">
        <f t="shared" si="6"/>
        <v>-10.784213963906835</v>
      </c>
      <c r="U13" s="2">
        <f t="shared" si="6"/>
        <v>-10.676371824267767</v>
      </c>
      <c r="V13" s="2">
        <f t="shared" si="6"/>
        <v>-10.569608106025088</v>
      </c>
      <c r="W13" s="2">
        <f t="shared" si="6"/>
        <v>-10.463912024964836</v>
      </c>
      <c r="X13" s="2">
        <f t="shared" si="6"/>
        <v>-10.359272904715187</v>
      </c>
      <c r="Y13" s="2">
        <f t="shared" si="6"/>
        <v>-10.255680175668035</v>
      </c>
      <c r="Z13" s="2">
        <f t="shared" si="6"/>
        <v>-10.153123373911354</v>
      </c>
      <c r="AA13" s="2">
        <f t="shared" si="6"/>
        <v>-10.051592140172241</v>
      </c>
      <c r="AB13" s="2">
        <f t="shared" si="6"/>
        <v>-9.9510762187705186</v>
      </c>
      <c r="AC13" s="2">
        <f t="shared" si="6"/>
        <v>-9.8515654565828132</v>
      </c>
      <c r="AD13" s="2">
        <f t="shared" si="6"/>
        <v>-9.7530498020169851</v>
      </c>
      <c r="AE13" s="2">
        <f t="shared" si="6"/>
        <v>-9.6555193039968152</v>
      </c>
      <c r="AF13" s="2">
        <f t="shared" si="6"/>
        <v>-9.5589641109568468</v>
      </c>
      <c r="AG13" s="2">
        <f t="shared" si="6"/>
        <v>-9.4633744698472775</v>
      </c>
      <c r="AH13" s="2">
        <f t="shared" si="6"/>
        <v>-9.368740725148804</v>
      </c>
      <c r="AI13" s="2">
        <f t="shared" si="6"/>
        <v>-9.2750533178973154</v>
      </c>
      <c r="AJ13" s="2">
        <f t="shared" si="6"/>
        <v>-9.1823027847183418</v>
      </c>
      <c r="AK13" s="2">
        <f t="shared" si="6"/>
        <v>-9.0904797568711579</v>
      </c>
      <c r="AL13" s="2">
        <f t="shared" si="6"/>
        <v>-8.9995749593024463</v>
      </c>
      <c r="AM13" s="2">
        <f t="shared" si="6"/>
        <v>-8.9095792097094222</v>
      </c>
      <c r="AN13" s="2">
        <f t="shared" si="6"/>
        <v>-8.8204834176123281</v>
      </c>
      <c r="AO13" s="2">
        <f t="shared" si="6"/>
        <v>-8.7322785834362051</v>
      </c>
      <c r="AP13" s="2">
        <f t="shared" si="6"/>
        <v>-8.6449557976018436</v>
      </c>
      <c r="AQ13" s="2">
        <f t="shared" si="6"/>
        <v>-8.5585062396258245</v>
      </c>
      <c r="AR13" s="2">
        <f t="shared" si="6"/>
        <v>-8.4729211772295656</v>
      </c>
      <c r="AS13" s="2">
        <f t="shared" si="6"/>
        <v>-8.3881919654572705</v>
      </c>
      <c r="AT13" s="2">
        <f t="shared" si="6"/>
        <v>-8.3043100458026977</v>
      </c>
      <c r="AU13" s="2">
        <f t="shared" si="6"/>
        <v>-8.2212669453446701</v>
      </c>
      <c r="AV13" s="2">
        <f t="shared" si="6"/>
        <v>-8.1390542758912225</v>
      </c>
      <c r="AW13" s="2">
        <f t="shared" si="6"/>
        <v>-8.0576637331323102</v>
      </c>
      <c r="AX13" s="2">
        <f t="shared" si="6"/>
        <v>-7.9770870958009867</v>
      </c>
      <c r="AY13" s="2">
        <f t="shared" si="6"/>
        <v>-7.8973162248429771</v>
      </c>
      <c r="AZ13" s="2">
        <f t="shared" si="6"/>
        <v>-7.8183430625945469</v>
      </c>
      <c r="BA13" s="2">
        <f t="shared" si="6"/>
        <v>-7.7401596319686012</v>
      </c>
      <c r="BB13" s="2">
        <f t="shared" si="6"/>
        <v>-7.6627580356489151</v>
      </c>
      <c r="BC13" s="2">
        <f t="shared" si="6"/>
        <v>-7.5861304552924258</v>
      </c>
      <c r="BD13" s="2">
        <f t="shared" si="6"/>
        <v>-7.5102691507395019</v>
      </c>
      <c r="BE13" s="2">
        <f t="shared" si="6"/>
        <v>-7.4351664592321072</v>
      </c>
      <c r="BF13" s="2">
        <f t="shared" si="6"/>
        <v>-7.3608147946397864</v>
      </c>
      <c r="BG13" s="2">
        <f t="shared" si="6"/>
        <v>-7.287206646693388</v>
      </c>
      <c r="BH13" s="2">
        <f t="shared" si="6"/>
        <v>-7.2143345802264545</v>
      </c>
      <c r="BI13" s="2">
        <f t="shared" si="6"/>
        <v>-7.1421912344241898</v>
      </c>
      <c r="BJ13" s="2">
        <f t="shared" si="6"/>
        <v>-7.0707693220799479</v>
      </c>
      <c r="BK13" s="2">
        <f t="shared" si="6"/>
        <v>-7.0000616288591484</v>
      </c>
      <c r="BL13" s="2">
        <f t="shared" si="6"/>
        <v>-6.9300610125705573</v>
      </c>
      <c r="BM13" s="2">
        <f t="shared" si="6"/>
        <v>-6.8607604024448516</v>
      </c>
      <c r="BN13" s="2">
        <f t="shared" si="6"/>
        <v>-6.7921527984204033</v>
      </c>
      <c r="BO13" s="2">
        <f t="shared" si="6"/>
        <v>-6.7242312704361993</v>
      </c>
      <c r="BP13" s="2">
        <f t="shared" si="6"/>
        <v>-6.6569889577318371</v>
      </c>
      <c r="BQ13" s="2">
        <f t="shared" si="6"/>
        <v>-6.5904190681545183</v>
      </c>
      <c r="BR13" s="2">
        <f t="shared" si="6"/>
        <v>-6.5245148774729733</v>
      </c>
      <c r="BS13" s="2">
        <f t="shared" si="6"/>
        <v>-6.4592697286982439</v>
      </c>
      <c r="BT13" s="2">
        <f t="shared" si="6"/>
        <v>-6.3946770314112618</v>
      </c>
      <c r="BU13" s="2">
        <f t="shared" si="6"/>
        <v>-6.3307302610971492</v>
      </c>
      <c r="BV13" s="2">
        <f t="shared" si="6"/>
        <v>-6.2674229584861774</v>
      </c>
      <c r="BW13" s="2">
        <f t="shared" si="6"/>
        <v>-6.2047487289013157</v>
      </c>
      <c r="BX13" s="2">
        <f t="shared" ref="BX13:CY13" si="7">BW13*(1+$M$16)</f>
        <v>-6.1427012416123024</v>
      </c>
      <c r="BY13" s="2">
        <f t="shared" si="7"/>
        <v>-6.081274229196179</v>
      </c>
      <c r="BZ13" s="2">
        <f t="shared" si="7"/>
        <v>-6.0204614869042175</v>
      </c>
      <c r="CA13" s="2">
        <f t="shared" si="7"/>
        <v>-5.960256872035175</v>
      </c>
      <c r="CB13" s="2">
        <f t="shared" si="7"/>
        <v>-5.9006543033148233</v>
      </c>
      <c r="CC13" s="2">
        <f t="shared" si="7"/>
        <v>-5.841647760281675</v>
      </c>
      <c r="CD13" s="2">
        <f t="shared" si="7"/>
        <v>-5.7832312826788579</v>
      </c>
      <c r="CE13" s="2">
        <f t="shared" si="7"/>
        <v>-5.7253989698520691</v>
      </c>
      <c r="CF13" s="2">
        <f t="shared" si="7"/>
        <v>-5.6681449801535484</v>
      </c>
      <c r="CG13" s="2">
        <f t="shared" si="7"/>
        <v>-5.6114635303520126</v>
      </c>
      <c r="CH13" s="2">
        <f t="shared" si="7"/>
        <v>-5.5553488950484926</v>
      </c>
      <c r="CI13" s="2">
        <f t="shared" si="7"/>
        <v>-5.4997954060980074</v>
      </c>
      <c r="CJ13" s="2">
        <f t="shared" si="7"/>
        <v>-5.4447974520370277</v>
      </c>
      <c r="CK13" s="2">
        <f t="shared" si="7"/>
        <v>-5.3903494775166569</v>
      </c>
      <c r="CL13" s="2">
        <f t="shared" si="7"/>
        <v>-5.3364459827414903</v>
      </c>
      <c r="CM13" s="2">
        <f t="shared" si="7"/>
        <v>-5.2830815229140757</v>
      </c>
      <c r="CN13" s="2">
        <f t="shared" si="7"/>
        <v>-5.2302507076849345</v>
      </c>
      <c r="CO13" s="2">
        <f t="shared" si="7"/>
        <v>-5.1779482006080855</v>
      </c>
      <c r="CP13" s="2">
        <f t="shared" si="7"/>
        <v>-5.1261687186020044</v>
      </c>
      <c r="CQ13" s="2">
        <f t="shared" si="7"/>
        <v>-5.0749070314159841</v>
      </c>
      <c r="CR13" s="2">
        <f t="shared" si="7"/>
        <v>-5.0241579611018246</v>
      </c>
      <c r="CS13" s="2">
        <f t="shared" si="7"/>
        <v>-4.9739163814908061</v>
      </c>
      <c r="CT13" s="2">
        <f t="shared" si="7"/>
        <v>-4.924177217675898</v>
      </c>
      <c r="CU13" s="2">
        <f t="shared" si="7"/>
        <v>-4.8749354454991387</v>
      </c>
      <c r="CV13" s="2">
        <f t="shared" si="7"/>
        <v>-4.8261860910441472</v>
      </c>
      <c r="CW13" s="2">
        <f t="shared" si="7"/>
        <v>-4.7779242301337055</v>
      </c>
      <c r="CX13" s="2">
        <f t="shared" si="7"/>
        <v>-4.730144987832368</v>
      </c>
      <c r="CY13" s="2">
        <f t="shared" si="7"/>
        <v>-4.6828435379540441</v>
      </c>
    </row>
    <row r="14" spans="1:103" x14ac:dyDescent="0.2">
      <c r="B14" s="2" t="s">
        <v>1</v>
      </c>
    </row>
    <row r="15" spans="1:103" x14ac:dyDescent="0.2">
      <c r="B15" s="2" t="s">
        <v>19</v>
      </c>
      <c r="C15" t="e">
        <f>C13/C14</f>
        <v>#DIV/0!</v>
      </c>
      <c r="L15" s="2" t="s">
        <v>21</v>
      </c>
      <c r="M15" s="4">
        <v>0.02</v>
      </c>
    </row>
    <row r="16" spans="1:103" x14ac:dyDescent="0.2">
      <c r="L16" s="2" t="s">
        <v>22</v>
      </c>
      <c r="M16" s="4">
        <v>-0.01</v>
      </c>
    </row>
    <row r="17" spans="2:13" x14ac:dyDescent="0.2">
      <c r="B17" s="2" t="s">
        <v>20</v>
      </c>
      <c r="E17" s="2">
        <f>E18-E20</f>
        <v>116</v>
      </c>
      <c r="F17" s="2">
        <f>E17+F13</f>
        <v>106.83840000000001</v>
      </c>
      <c r="G17" s="2">
        <f t="shared" ref="G17:J17" si="8">F17+G13</f>
        <v>97.034304000000006</v>
      </c>
      <c r="H17" s="2">
        <f t="shared" si="8"/>
        <v>86.556491520000009</v>
      </c>
      <c r="I17" s="2">
        <f t="shared" si="8"/>
        <v>75.372382848000001</v>
      </c>
      <c r="J17" s="2">
        <f t="shared" si="8"/>
        <v>63.447982462463997</v>
      </c>
      <c r="L17" s="2" t="s">
        <v>23</v>
      </c>
      <c r="M17" s="4">
        <v>0.08</v>
      </c>
    </row>
    <row r="18" spans="2:13" x14ac:dyDescent="0.2">
      <c r="B18" s="2" t="s">
        <v>3</v>
      </c>
      <c r="E18" s="2">
        <v>116</v>
      </c>
      <c r="L18" s="2" t="s">
        <v>24</v>
      </c>
      <c r="M18" s="2">
        <f>NPV(M17,F13:XFD13)+Main!K5-Main!K6+Blarcamesine!D40</f>
        <v>932.10340526743425</v>
      </c>
    </row>
    <row r="19" spans="2:13" x14ac:dyDescent="0.2">
      <c r="L19" s="2" t="s">
        <v>25</v>
      </c>
      <c r="M19" s="1">
        <f>M18/Main!K3</f>
        <v>10.91813949851748</v>
      </c>
    </row>
    <row r="20" spans="2:13" x14ac:dyDescent="0.2">
      <c r="B20" s="2" t="s">
        <v>4</v>
      </c>
      <c r="E20" s="2">
        <v>0</v>
      </c>
      <c r="M20" s="4">
        <f>M19/Main!K2-1</f>
        <v>0.18161682884388308</v>
      </c>
    </row>
  </sheetData>
  <hyperlinks>
    <hyperlink ref="A1" location="Main!A1" display="Main" xr:uid="{FEFF9FE4-FF08-4C0F-AE91-76DBC15FD00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6D-3660-4286-832E-E0AFABF67ECE}">
  <dimension ref="A1:C15"/>
  <sheetViews>
    <sheetView zoomScale="160" zoomScaleNormal="160" workbookViewId="0"/>
  </sheetViews>
  <sheetFormatPr defaultRowHeight="12.75" x14ac:dyDescent="0.2"/>
  <cols>
    <col min="1" max="1" width="4.85546875" customWidth="1"/>
    <col min="2" max="2" width="9.140625" customWidth="1"/>
  </cols>
  <sheetData>
    <row r="1" spans="1:3" x14ac:dyDescent="0.2">
      <c r="A1" s="19" t="s">
        <v>7</v>
      </c>
    </row>
    <row r="2" spans="1:3" x14ac:dyDescent="0.2">
      <c r="B2" t="s">
        <v>26</v>
      </c>
      <c r="C2" t="s">
        <v>88</v>
      </c>
    </row>
    <row r="3" spans="1:3" x14ac:dyDescent="0.2">
      <c r="C3" t="s">
        <v>93</v>
      </c>
    </row>
    <row r="5" spans="1:3" x14ac:dyDescent="0.2">
      <c r="B5" s="24" t="s">
        <v>91</v>
      </c>
      <c r="C5" s="24" t="s">
        <v>92</v>
      </c>
    </row>
    <row r="6" spans="1:3" x14ac:dyDescent="0.2">
      <c r="B6" s="19" t="s">
        <v>46</v>
      </c>
      <c r="C6" t="s">
        <v>89</v>
      </c>
    </row>
    <row r="7" spans="1:3" x14ac:dyDescent="0.2">
      <c r="B7" t="s">
        <v>87</v>
      </c>
      <c r="C7" t="s">
        <v>90</v>
      </c>
    </row>
    <row r="9" spans="1:3" x14ac:dyDescent="0.2">
      <c r="B9" t="s">
        <v>94</v>
      </c>
    </row>
    <row r="10" spans="1:3" x14ac:dyDescent="0.2">
      <c r="B10" t="s">
        <v>95</v>
      </c>
    </row>
    <row r="12" spans="1:3" x14ac:dyDescent="0.2">
      <c r="B12" s="24" t="s">
        <v>100</v>
      </c>
    </row>
    <row r="13" spans="1:3" x14ac:dyDescent="0.2">
      <c r="B13" s="19" t="s">
        <v>96</v>
      </c>
      <c r="C13" t="s">
        <v>99</v>
      </c>
    </row>
    <row r="14" spans="1:3" x14ac:dyDescent="0.2">
      <c r="B14" t="s">
        <v>97</v>
      </c>
    </row>
    <row r="15" spans="1:3" x14ac:dyDescent="0.2">
      <c r="B15" t="s">
        <v>98</v>
      </c>
    </row>
  </sheetData>
  <hyperlinks>
    <hyperlink ref="B6" r:id="rId1" tooltip="https://link.springer.com/chapter/10.1007/164_2017_8" xr:uid="{908679FD-F137-4CE4-B11B-ED5832B74FC8}"/>
    <hyperlink ref="B13" r:id="rId2" xr:uid="{E3455CA4-1BB2-48FF-A8BE-EE6BC790D76D}"/>
    <hyperlink ref="A1" location="Main!A1" display="Main" xr:uid="{BFB01A54-03EB-45AD-B81A-4B9884E950F3}"/>
  </hyperlink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0582-DC4D-4F23-97CC-A8C90BE99A2E}">
  <dimension ref="A1:T78"/>
  <sheetViews>
    <sheetView zoomScale="160" zoomScaleNormal="160" workbookViewId="0">
      <selection activeCell="F21" sqref="F21"/>
    </sheetView>
  </sheetViews>
  <sheetFormatPr defaultRowHeight="12.75" x14ac:dyDescent="0.2"/>
  <cols>
    <col min="1" max="1" width="4.5703125" customWidth="1"/>
    <col min="2" max="2" width="11.7109375" customWidth="1"/>
    <col min="3" max="3" width="9.140625" customWidth="1"/>
    <col min="4" max="4" width="11.140625" bestFit="1" customWidth="1"/>
  </cols>
  <sheetData>
    <row r="1" spans="1:3" x14ac:dyDescent="0.2">
      <c r="A1" s="19" t="s">
        <v>7</v>
      </c>
    </row>
    <row r="2" spans="1:3" x14ac:dyDescent="0.2">
      <c r="B2" t="s">
        <v>48</v>
      </c>
      <c r="C2" t="s">
        <v>51</v>
      </c>
    </row>
    <row r="3" spans="1:3" x14ac:dyDescent="0.2">
      <c r="B3" t="s">
        <v>49</v>
      </c>
      <c r="C3" t="s">
        <v>50</v>
      </c>
    </row>
    <row r="4" spans="1:3" x14ac:dyDescent="0.2">
      <c r="B4" t="s">
        <v>27</v>
      </c>
      <c r="C4" t="s">
        <v>52</v>
      </c>
    </row>
    <row r="5" spans="1:3" x14ac:dyDescent="0.2">
      <c r="B5" t="s">
        <v>28</v>
      </c>
      <c r="C5" t="s">
        <v>82</v>
      </c>
    </row>
    <row r="6" spans="1:3" x14ac:dyDescent="0.2">
      <c r="B6" t="s">
        <v>53</v>
      </c>
      <c r="C6" t="s">
        <v>83</v>
      </c>
    </row>
    <row r="7" spans="1:3" x14ac:dyDescent="0.2">
      <c r="B7" t="s">
        <v>47</v>
      </c>
    </row>
    <row r="8" spans="1:3" x14ac:dyDescent="0.2">
      <c r="C8" s="24" t="s">
        <v>75</v>
      </c>
    </row>
    <row r="9" spans="1:3" x14ac:dyDescent="0.2">
      <c r="C9" t="s">
        <v>56</v>
      </c>
    </row>
    <row r="10" spans="1:3" x14ac:dyDescent="0.2">
      <c r="C10" t="s">
        <v>54</v>
      </c>
    </row>
    <row r="11" spans="1:3" x14ac:dyDescent="0.2">
      <c r="C11" t="s">
        <v>55</v>
      </c>
    </row>
    <row r="12" spans="1:3" x14ac:dyDescent="0.2">
      <c r="C12" t="s">
        <v>84</v>
      </c>
    </row>
    <row r="13" spans="1:3" x14ac:dyDescent="0.2">
      <c r="C13" t="s">
        <v>85</v>
      </c>
    </row>
    <row r="14" spans="1:3" x14ac:dyDescent="0.2">
      <c r="C14" t="s">
        <v>86</v>
      </c>
    </row>
    <row r="16" spans="1:3" x14ac:dyDescent="0.2">
      <c r="C16" t="s">
        <v>74</v>
      </c>
    </row>
    <row r="17" spans="2:6" x14ac:dyDescent="0.2">
      <c r="C17" t="s">
        <v>77</v>
      </c>
    </row>
    <row r="18" spans="2:6" x14ac:dyDescent="0.2">
      <c r="C18" t="s">
        <v>76</v>
      </c>
    </row>
    <row r="19" spans="2:6" x14ac:dyDescent="0.2">
      <c r="C19" t="s">
        <v>60</v>
      </c>
      <c r="D19" t="s">
        <v>61</v>
      </c>
    </row>
    <row r="20" spans="2:6" x14ac:dyDescent="0.2">
      <c r="B20" t="s">
        <v>57</v>
      </c>
      <c r="C20">
        <v>65</v>
      </c>
      <c r="D20">
        <v>168</v>
      </c>
      <c r="E20" s="4">
        <f>C20/D20</f>
        <v>0.38690476190476192</v>
      </c>
    </row>
    <row r="21" spans="2:6" x14ac:dyDescent="0.2">
      <c r="B21" t="s">
        <v>58</v>
      </c>
      <c r="C21">
        <v>41</v>
      </c>
      <c r="D21">
        <v>167</v>
      </c>
      <c r="E21" s="4">
        <f>C21/D21</f>
        <v>0.24550898203592814</v>
      </c>
    </row>
    <row r="22" spans="2:6" x14ac:dyDescent="0.2">
      <c r="B22" t="s">
        <v>59</v>
      </c>
      <c r="C22">
        <v>13</v>
      </c>
      <c r="D22">
        <v>168</v>
      </c>
      <c r="E22" s="4">
        <f>C22/D22</f>
        <v>7.7380952380952384E-2</v>
      </c>
      <c r="F22" s="1"/>
    </row>
    <row r="24" spans="2:6" x14ac:dyDescent="0.2">
      <c r="C24" t="s">
        <v>62</v>
      </c>
    </row>
    <row r="25" spans="2:6" x14ac:dyDescent="0.2">
      <c r="C25" t="s">
        <v>63</v>
      </c>
    </row>
    <row r="27" spans="2:6" x14ac:dyDescent="0.2">
      <c r="C27" s="24" t="s">
        <v>71</v>
      </c>
    </row>
    <row r="28" spans="2:6" x14ac:dyDescent="0.2">
      <c r="C28" t="s">
        <v>72</v>
      </c>
    </row>
    <row r="30" spans="2:6" x14ac:dyDescent="0.2">
      <c r="C30" s="24" t="s">
        <v>73</v>
      </c>
    </row>
    <row r="33" spans="2:20" x14ac:dyDescent="0.2">
      <c r="C33">
        <v>2025</v>
      </c>
      <c r="D33">
        <f>C33+1</f>
        <v>2026</v>
      </c>
      <c r="E33">
        <f t="shared" ref="E33:T33" si="0">D33+1</f>
        <v>2027</v>
      </c>
      <c r="F33">
        <f t="shared" si="0"/>
        <v>2028</v>
      </c>
      <c r="G33">
        <f t="shared" si="0"/>
        <v>2029</v>
      </c>
      <c r="H33">
        <f t="shared" si="0"/>
        <v>2030</v>
      </c>
      <c r="I33">
        <f t="shared" si="0"/>
        <v>2031</v>
      </c>
      <c r="J33">
        <f t="shared" si="0"/>
        <v>2032</v>
      </c>
      <c r="K33">
        <f t="shared" si="0"/>
        <v>2033</v>
      </c>
      <c r="L33">
        <f t="shared" si="0"/>
        <v>2034</v>
      </c>
      <c r="M33">
        <f t="shared" si="0"/>
        <v>2035</v>
      </c>
      <c r="N33">
        <f t="shared" si="0"/>
        <v>2036</v>
      </c>
      <c r="O33">
        <f t="shared" si="0"/>
        <v>2037</v>
      </c>
      <c r="P33">
        <f t="shared" si="0"/>
        <v>2038</v>
      </c>
      <c r="Q33">
        <f t="shared" si="0"/>
        <v>2039</v>
      </c>
      <c r="R33">
        <f t="shared" si="0"/>
        <v>2040</v>
      </c>
      <c r="S33">
        <f t="shared" si="0"/>
        <v>2041</v>
      </c>
      <c r="T33">
        <f t="shared" si="0"/>
        <v>2042</v>
      </c>
    </row>
    <row r="34" spans="2:20" x14ac:dyDescent="0.2">
      <c r="B34" t="s">
        <v>64</v>
      </c>
      <c r="C34" s="2">
        <v>2000</v>
      </c>
      <c r="D34" s="2">
        <f>C34*1.05</f>
        <v>2100</v>
      </c>
      <c r="E34" s="2">
        <f t="shared" ref="E34:T34" si="1">D34*1.05</f>
        <v>2205</v>
      </c>
      <c r="F34" s="2">
        <f t="shared" si="1"/>
        <v>2315.25</v>
      </c>
      <c r="G34" s="2">
        <f t="shared" si="1"/>
        <v>2431.0125000000003</v>
      </c>
      <c r="H34" s="2">
        <f t="shared" si="1"/>
        <v>2552.5631250000006</v>
      </c>
      <c r="I34" s="2">
        <f t="shared" si="1"/>
        <v>2680.1912812500009</v>
      </c>
      <c r="J34" s="2">
        <f t="shared" si="1"/>
        <v>2814.2008453125009</v>
      </c>
      <c r="K34" s="2">
        <f t="shared" si="1"/>
        <v>2954.9108875781262</v>
      </c>
      <c r="L34" s="2">
        <f t="shared" si="1"/>
        <v>3102.6564319570325</v>
      </c>
      <c r="M34" s="2">
        <f t="shared" si="1"/>
        <v>3257.7892535548845</v>
      </c>
      <c r="N34" s="2">
        <f t="shared" si="1"/>
        <v>3420.6787162326286</v>
      </c>
      <c r="O34" s="2">
        <f t="shared" si="1"/>
        <v>3591.7126520442603</v>
      </c>
      <c r="P34" s="2">
        <f t="shared" si="1"/>
        <v>3771.2982846464733</v>
      </c>
      <c r="Q34" s="2">
        <f t="shared" si="1"/>
        <v>3959.863198878797</v>
      </c>
      <c r="R34" s="2">
        <f t="shared" si="1"/>
        <v>4157.8563588227371</v>
      </c>
      <c r="S34" s="2">
        <f t="shared" si="1"/>
        <v>4365.7491767638739</v>
      </c>
      <c r="T34" s="2">
        <f t="shared" si="1"/>
        <v>4584.0366356020677</v>
      </c>
    </row>
    <row r="35" spans="2:20" x14ac:dyDescent="0.2">
      <c r="B35" t="s">
        <v>65</v>
      </c>
      <c r="C35" s="2">
        <f>C34*1.2</f>
        <v>2400</v>
      </c>
      <c r="D35" s="2">
        <f t="shared" ref="D35:T35" si="2">D34*1.2</f>
        <v>2520</v>
      </c>
      <c r="E35" s="2">
        <f t="shared" si="2"/>
        <v>2646</v>
      </c>
      <c r="F35" s="2">
        <f t="shared" si="2"/>
        <v>2778.2999999999997</v>
      </c>
      <c r="G35" s="2">
        <f t="shared" si="2"/>
        <v>2917.2150000000001</v>
      </c>
      <c r="H35" s="2">
        <f t="shared" si="2"/>
        <v>3063.0757500000004</v>
      </c>
      <c r="I35" s="2">
        <f t="shared" si="2"/>
        <v>3216.2295375000008</v>
      </c>
      <c r="J35" s="2">
        <f t="shared" si="2"/>
        <v>3377.0410143750009</v>
      </c>
      <c r="K35" s="2">
        <f t="shared" si="2"/>
        <v>3545.8930650937514</v>
      </c>
      <c r="L35" s="2">
        <f t="shared" si="2"/>
        <v>3723.1877183484389</v>
      </c>
      <c r="M35" s="2">
        <f t="shared" si="2"/>
        <v>3909.3471042658612</v>
      </c>
      <c r="N35" s="2">
        <f t="shared" si="2"/>
        <v>4104.8144594791538</v>
      </c>
      <c r="O35" s="2">
        <f t="shared" si="2"/>
        <v>4310.0551824531121</v>
      </c>
      <c r="P35" s="2">
        <f t="shared" si="2"/>
        <v>4525.5579415757675</v>
      </c>
      <c r="Q35" s="2">
        <f t="shared" si="2"/>
        <v>4751.835838654556</v>
      </c>
      <c r="R35" s="2">
        <f t="shared" si="2"/>
        <v>4989.4276305872845</v>
      </c>
      <c r="S35" s="2">
        <f t="shared" si="2"/>
        <v>5238.8990121166489</v>
      </c>
      <c r="T35" s="2">
        <f t="shared" si="2"/>
        <v>5500.8439627224807</v>
      </c>
    </row>
    <row r="36" spans="2:20" x14ac:dyDescent="0.2">
      <c r="B36" t="s">
        <v>0</v>
      </c>
      <c r="C36" s="2">
        <v>32</v>
      </c>
      <c r="D36" s="2">
        <v>32</v>
      </c>
      <c r="E36" s="2">
        <v>32</v>
      </c>
      <c r="F36" s="2">
        <v>32</v>
      </c>
      <c r="G36" s="2">
        <v>32</v>
      </c>
      <c r="H36" s="2">
        <v>32</v>
      </c>
      <c r="I36" s="2">
        <v>32</v>
      </c>
      <c r="J36" s="2">
        <v>32</v>
      </c>
      <c r="K36" s="2">
        <v>32</v>
      </c>
      <c r="L36" s="2">
        <v>32</v>
      </c>
      <c r="M36" s="2">
        <v>32</v>
      </c>
      <c r="N36" s="2">
        <v>32</v>
      </c>
      <c r="O36" s="2">
        <v>32</v>
      </c>
      <c r="P36" s="2">
        <v>32</v>
      </c>
      <c r="Q36" s="2">
        <v>32</v>
      </c>
      <c r="R36" s="2">
        <v>32</v>
      </c>
      <c r="S36" s="2">
        <v>32</v>
      </c>
      <c r="T36" s="2">
        <v>32</v>
      </c>
    </row>
    <row r="37" spans="2:20" x14ac:dyDescent="0.2">
      <c r="B37" t="s">
        <v>8</v>
      </c>
      <c r="C37" s="2">
        <v>0</v>
      </c>
      <c r="D37" s="2">
        <f t="shared" ref="D37:T37" si="3">D36*D35</f>
        <v>80640</v>
      </c>
      <c r="E37" s="2">
        <f t="shared" si="3"/>
        <v>84672</v>
      </c>
      <c r="F37" s="2">
        <f t="shared" si="3"/>
        <v>88905.599999999991</v>
      </c>
      <c r="G37" s="2">
        <f t="shared" si="3"/>
        <v>93350.88</v>
      </c>
      <c r="H37" s="2">
        <f t="shared" si="3"/>
        <v>98018.424000000014</v>
      </c>
      <c r="I37" s="2">
        <f t="shared" si="3"/>
        <v>102919.34520000003</v>
      </c>
      <c r="J37" s="2">
        <f t="shared" si="3"/>
        <v>108065.31246000003</v>
      </c>
      <c r="K37" s="2">
        <f t="shared" si="3"/>
        <v>113468.57808300004</v>
      </c>
      <c r="L37" s="2">
        <f t="shared" si="3"/>
        <v>119142.00698715005</v>
      </c>
      <c r="M37" s="2">
        <f t="shared" si="3"/>
        <v>125099.10733650756</v>
      </c>
      <c r="N37" s="2">
        <f t="shared" si="3"/>
        <v>131354.06270333292</v>
      </c>
      <c r="O37" s="2">
        <f t="shared" si="3"/>
        <v>137921.76583849959</v>
      </c>
      <c r="P37" s="2">
        <f t="shared" si="3"/>
        <v>144817.85413042456</v>
      </c>
      <c r="Q37" s="2">
        <f t="shared" si="3"/>
        <v>152058.74683694579</v>
      </c>
      <c r="R37" s="2">
        <f t="shared" si="3"/>
        <v>159661.6841787931</v>
      </c>
      <c r="S37" s="2">
        <f t="shared" si="3"/>
        <v>167644.76838773277</v>
      </c>
      <c r="T37" s="2">
        <f t="shared" si="3"/>
        <v>176027.00680711938</v>
      </c>
    </row>
    <row r="39" spans="2:20" x14ac:dyDescent="0.2">
      <c r="C39" t="s">
        <v>23</v>
      </c>
      <c r="D39" s="4">
        <v>0.08</v>
      </c>
    </row>
    <row r="40" spans="2:20" x14ac:dyDescent="0.2">
      <c r="C40" t="s">
        <v>24</v>
      </c>
      <c r="D40" s="2">
        <f>NPV(D39,C37:T37)/1000</f>
        <v>947.11832457962373</v>
      </c>
    </row>
    <row r="43" spans="2:20" x14ac:dyDescent="0.2">
      <c r="B43" t="s">
        <v>66</v>
      </c>
    </row>
    <row r="44" spans="2:20" ht="16.5" customHeight="1" x14ac:dyDescent="0.3">
      <c r="B44" s="19" t="s">
        <v>68</v>
      </c>
      <c r="C44" s="25" t="s">
        <v>67</v>
      </c>
    </row>
    <row r="45" spans="2:20" x14ac:dyDescent="0.2">
      <c r="B45" t="s">
        <v>69</v>
      </c>
    </row>
    <row r="74" spans="5:11" x14ac:dyDescent="0.2">
      <c r="E74" s="26" t="s">
        <v>81</v>
      </c>
      <c r="G74" s="26" t="s">
        <v>80</v>
      </c>
      <c r="I74" s="26" t="s">
        <v>79</v>
      </c>
      <c r="K74" s="26" t="s">
        <v>78</v>
      </c>
    </row>
    <row r="78" spans="5:11" x14ac:dyDescent="0.2">
      <c r="E78" s="4"/>
      <c r="I78" s="4"/>
    </row>
  </sheetData>
  <hyperlinks>
    <hyperlink ref="A1" location="Main!A1" display="Main" xr:uid="{507DDEA7-932D-4872-8D48-17F26FD11820}"/>
    <hyperlink ref="B44" r:id="rId1" xr:uid="{742903D1-1F8C-41C6-B35C-3394E968EAA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60B7-7301-4425-B40F-55ADDC51D355}">
  <dimension ref="A1:B6"/>
  <sheetViews>
    <sheetView zoomScale="160" zoomScaleNormal="160" workbookViewId="0">
      <selection activeCell="C15" sqref="C15"/>
    </sheetView>
  </sheetViews>
  <sheetFormatPr defaultRowHeight="12.75" x14ac:dyDescent="0.2"/>
  <cols>
    <col min="1" max="1" width="4.7109375" customWidth="1"/>
  </cols>
  <sheetData>
    <row r="1" spans="1:2" x14ac:dyDescent="0.2">
      <c r="A1" s="19" t="s">
        <v>7</v>
      </c>
    </row>
    <row r="2" spans="1:2" x14ac:dyDescent="0.2">
      <c r="B2" t="s">
        <v>48</v>
      </c>
    </row>
    <row r="3" spans="1:2" x14ac:dyDescent="0.2">
      <c r="B3" t="s">
        <v>49</v>
      </c>
    </row>
    <row r="4" spans="1:2" x14ac:dyDescent="0.2">
      <c r="B4" t="s">
        <v>27</v>
      </c>
    </row>
    <row r="5" spans="1:2" x14ac:dyDescent="0.2">
      <c r="B5" t="s">
        <v>28</v>
      </c>
    </row>
    <row r="6" spans="1:2" x14ac:dyDescent="0.2">
      <c r="B6" t="s">
        <v>47</v>
      </c>
    </row>
  </sheetData>
  <hyperlinks>
    <hyperlink ref="A1" location="Main!A1" display="Main" xr:uid="{7167E1E6-B4AA-4C6E-B192-52BC74C6330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D43F-E944-4444-B48B-82623BFF33DC}">
  <dimension ref="A1:B6"/>
  <sheetViews>
    <sheetView zoomScale="160" zoomScaleNormal="160" workbookViewId="0">
      <selection activeCell="E13" sqref="E13"/>
    </sheetView>
  </sheetViews>
  <sheetFormatPr defaultRowHeight="12.75" x14ac:dyDescent="0.2"/>
  <cols>
    <col min="1" max="1" width="4.5703125" customWidth="1"/>
  </cols>
  <sheetData>
    <row r="1" spans="1:2" x14ac:dyDescent="0.2">
      <c r="A1" s="19" t="s">
        <v>7</v>
      </c>
    </row>
    <row r="2" spans="1:2" x14ac:dyDescent="0.2">
      <c r="B2" t="s">
        <v>48</v>
      </c>
    </row>
    <row r="3" spans="1:2" x14ac:dyDescent="0.2">
      <c r="B3" t="s">
        <v>49</v>
      </c>
    </row>
    <row r="4" spans="1:2" x14ac:dyDescent="0.2">
      <c r="B4" t="s">
        <v>27</v>
      </c>
    </row>
    <row r="5" spans="1:2" x14ac:dyDescent="0.2">
      <c r="B5" t="s">
        <v>28</v>
      </c>
    </row>
    <row r="6" spans="1:2" x14ac:dyDescent="0.2">
      <c r="B6" t="s">
        <v>47</v>
      </c>
    </row>
  </sheetData>
  <hyperlinks>
    <hyperlink ref="A1" location="Main!A1" display="Main" xr:uid="{015FEDFF-2C76-4AD2-9320-E3BC81F84AE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766-F510-4B5D-841E-53B1D7427668}">
  <dimension ref="A1:B27"/>
  <sheetViews>
    <sheetView zoomScale="160" zoomScaleNormal="160" workbookViewId="0">
      <selection activeCell="F25" sqref="F25"/>
    </sheetView>
  </sheetViews>
  <sheetFormatPr defaultRowHeight="12.75" x14ac:dyDescent="0.2"/>
  <cols>
    <col min="1" max="1" width="4.85546875" customWidth="1"/>
  </cols>
  <sheetData>
    <row r="1" spans="1:2" x14ac:dyDescent="0.2">
      <c r="A1" s="19" t="s">
        <v>7</v>
      </c>
    </row>
    <row r="2" spans="1:2" x14ac:dyDescent="0.2">
      <c r="B2" t="s">
        <v>48</v>
      </c>
    </row>
    <row r="3" spans="1:2" x14ac:dyDescent="0.2">
      <c r="B3" t="s">
        <v>49</v>
      </c>
    </row>
    <row r="4" spans="1:2" x14ac:dyDescent="0.2">
      <c r="B4" t="s">
        <v>27</v>
      </c>
    </row>
    <row r="5" spans="1:2" x14ac:dyDescent="0.2">
      <c r="B5" t="s">
        <v>28</v>
      </c>
    </row>
    <row r="6" spans="1:2" x14ac:dyDescent="0.2">
      <c r="B6" t="s">
        <v>47</v>
      </c>
    </row>
    <row r="8" spans="1:2" x14ac:dyDescent="0.2">
      <c r="B8" s="19"/>
    </row>
    <row r="27" ht="15" customHeight="1" x14ac:dyDescent="0.2"/>
  </sheetData>
  <hyperlinks>
    <hyperlink ref="A1" location="Main!A1" display="Main" xr:uid="{C5764308-F8DF-4F86-A850-AB67DAC42A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SIGMAR1</vt:lpstr>
      <vt:lpstr>Blarcamesine</vt:lpstr>
      <vt:lpstr>ANAVEX3-71</vt:lpstr>
      <vt:lpstr>ANAVEX1-41</vt:lpstr>
      <vt:lpstr>ANAVEX1066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2025-06-30T03:32:19Z</dcterms:created>
  <dcterms:modified xsi:type="dcterms:W3CDTF">2025-07-13T07:59:26Z</dcterms:modified>
</cp:coreProperties>
</file>