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7sher\OneDrive\Desktop\models\"/>
    </mc:Choice>
  </mc:AlternateContent>
  <xr:revisionPtr revIDLastSave="0" documentId="13_ncr:1_{7FF4A289-5BC3-4353-9A31-650D969D526A}" xr6:coauthVersionLast="47" xr6:coauthVersionMax="47" xr10:uidLastSave="{00000000-0000-0000-0000-000000000000}"/>
  <bookViews>
    <workbookView xWindow="1770" yWindow="1530" windowWidth="23565" windowHeight="13935" activeTab="1" xr2:uid="{EE5219A3-BA1B-4D6E-A979-2CD5C8786A6D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93" i="2" l="1"/>
  <c r="P19" i="2"/>
  <c r="Q19" i="2"/>
  <c r="R19" i="2"/>
  <c r="S19" i="2"/>
  <c r="T19" i="2"/>
  <c r="U19" i="2"/>
  <c r="V19" i="2"/>
  <c r="W19" i="2"/>
  <c r="X19" i="2"/>
  <c r="O19" i="2"/>
  <c r="P17" i="2"/>
  <c r="Q17" i="2"/>
  <c r="R17" i="2"/>
  <c r="S17" i="2" s="1"/>
  <c r="T17" i="2" s="1"/>
  <c r="U17" i="2" s="1"/>
  <c r="V17" i="2" s="1"/>
  <c r="W17" i="2" s="1"/>
  <c r="X17" i="2" s="1"/>
  <c r="O17" i="2"/>
  <c r="O4" i="2"/>
  <c r="O20" i="2"/>
  <c r="P20" i="2" s="1"/>
  <c r="O15" i="2"/>
  <c r="O2" i="2"/>
  <c r="O18" i="2"/>
  <c r="O5" i="2" s="1"/>
  <c r="N5" i="2"/>
  <c r="S5" i="2"/>
  <c r="T5" i="2"/>
  <c r="U5" i="2"/>
  <c r="V5" i="2"/>
  <c r="W5" i="2"/>
  <c r="X5" i="2"/>
  <c r="M5" i="2"/>
  <c r="N6" i="2"/>
  <c r="O6" i="2"/>
  <c r="M6" i="2"/>
  <c r="O81" i="2"/>
  <c r="P81" i="2" s="1"/>
  <c r="Q81" i="2" s="1"/>
  <c r="R81" i="2" s="1"/>
  <c r="S81" i="2" s="1"/>
  <c r="T81" i="2" s="1"/>
  <c r="U81" i="2" s="1"/>
  <c r="V81" i="2" s="1"/>
  <c r="W81" i="2" s="1"/>
  <c r="X81" i="2" s="1"/>
  <c r="O80" i="2"/>
  <c r="P80" i="2" s="1"/>
  <c r="Q80" i="2" s="1"/>
  <c r="R80" i="2" s="1"/>
  <c r="S80" i="2" s="1"/>
  <c r="T80" i="2" s="1"/>
  <c r="U80" i="2" s="1"/>
  <c r="V80" i="2" s="1"/>
  <c r="W80" i="2" s="1"/>
  <c r="X80" i="2" s="1"/>
  <c r="M49" i="2"/>
  <c r="N49" i="2"/>
  <c r="M48" i="2"/>
  <c r="N48" i="2"/>
  <c r="N47" i="2" s="1"/>
  <c r="O32" i="2" s="1"/>
  <c r="N79" i="2"/>
  <c r="N92" i="2" s="1"/>
  <c r="N100" i="2" s="1"/>
  <c r="M79" i="2"/>
  <c r="M92" i="2" s="1"/>
  <c r="M100" i="2" s="1"/>
  <c r="L79" i="2"/>
  <c r="L92" i="2" s="1"/>
  <c r="L100" i="2" s="1"/>
  <c r="N71" i="2"/>
  <c r="M71" i="2"/>
  <c r="N61" i="2"/>
  <c r="M61" i="2"/>
  <c r="M72" i="2" s="1"/>
  <c r="N4" i="2"/>
  <c r="M4" i="2"/>
  <c r="N16" i="2"/>
  <c r="O16" i="2" s="1"/>
  <c r="P16" i="2" s="1"/>
  <c r="Q16" i="2" s="1"/>
  <c r="R16" i="2" s="1"/>
  <c r="S16" i="2" s="1"/>
  <c r="T16" i="2" s="1"/>
  <c r="U16" i="2" s="1"/>
  <c r="V16" i="2" s="1"/>
  <c r="W16" i="2" s="1"/>
  <c r="X16" i="2" s="1"/>
  <c r="M16" i="2"/>
  <c r="M22" i="2" s="1"/>
  <c r="M24" i="2" s="1"/>
  <c r="M75" i="2" s="1"/>
  <c r="L16" i="2"/>
  <c r="L22" i="2" s="1"/>
  <c r="L24" i="2" s="1"/>
  <c r="L39" i="2" s="1"/>
  <c r="N2" i="2"/>
  <c r="M2" i="2"/>
  <c r="O23" i="2"/>
  <c r="P23" i="2" s="1"/>
  <c r="Q23" i="2" s="1"/>
  <c r="R23" i="2" s="1"/>
  <c r="S23" i="2" s="1"/>
  <c r="T23" i="2" s="1"/>
  <c r="U23" i="2" s="1"/>
  <c r="V23" i="2" s="1"/>
  <c r="W23" i="2" s="1"/>
  <c r="X23" i="2" s="1"/>
  <c r="M30" i="2"/>
  <c r="N30" i="2"/>
  <c r="L30" i="2"/>
  <c r="H3" i="2"/>
  <c r="I3" i="2"/>
  <c r="J3" i="2"/>
  <c r="H2" i="2"/>
  <c r="I2" i="2"/>
  <c r="J2" i="2"/>
  <c r="G2" i="2"/>
  <c r="C16" i="2"/>
  <c r="C22" i="2" s="1"/>
  <c r="G16" i="2"/>
  <c r="G22" i="2" s="1"/>
  <c r="G24" i="2" s="1"/>
  <c r="C9" i="2"/>
  <c r="G9" i="2"/>
  <c r="G49" i="2"/>
  <c r="G47" i="2" s="1"/>
  <c r="H39" i="2"/>
  <c r="I39" i="2"/>
  <c r="J39" i="2"/>
  <c r="D30" i="2"/>
  <c r="E30" i="2"/>
  <c r="F30" i="2"/>
  <c r="G30" i="2"/>
  <c r="H30" i="2"/>
  <c r="I30" i="2"/>
  <c r="J30" i="2"/>
  <c r="D24" i="2"/>
  <c r="D26" i="2" s="1"/>
  <c r="D43" i="2" s="1"/>
  <c r="E24" i="2"/>
  <c r="E26" i="2" s="1"/>
  <c r="E43" i="2" s="1"/>
  <c r="F24" i="2"/>
  <c r="F26" i="2" s="1"/>
  <c r="F43" i="2" s="1"/>
  <c r="H24" i="2"/>
  <c r="H26" i="2" s="1"/>
  <c r="H43" i="2" s="1"/>
  <c r="I24" i="2"/>
  <c r="J24" i="2"/>
  <c r="J26" i="2" s="1"/>
  <c r="J43" i="2" s="1"/>
  <c r="C30" i="2"/>
  <c r="M1" i="2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M6" i="1"/>
  <c r="M4" i="1"/>
  <c r="M7" i="1" s="1"/>
  <c r="P6" i="2" l="1"/>
  <c r="Q20" i="2"/>
  <c r="P18" i="2"/>
  <c r="Q18" i="2" s="1"/>
  <c r="M47" i="2"/>
  <c r="O24" i="2"/>
  <c r="Q3" i="2"/>
  <c r="Q2" i="2"/>
  <c r="P2" i="2"/>
  <c r="P3" i="2"/>
  <c r="P5" i="2"/>
  <c r="N72" i="2"/>
  <c r="N73" i="2" s="1"/>
  <c r="M73" i="2"/>
  <c r="L10" i="2"/>
  <c r="M10" i="2"/>
  <c r="N3" i="2"/>
  <c r="L9" i="2"/>
  <c r="L11" i="2" s="1"/>
  <c r="O3" i="2"/>
  <c r="M9" i="2"/>
  <c r="M11" i="2" s="1"/>
  <c r="M26" i="2"/>
  <c r="M43" i="2" s="1"/>
  <c r="M45" i="2"/>
  <c r="L45" i="2"/>
  <c r="N22" i="2"/>
  <c r="N10" i="2" s="1"/>
  <c r="M3" i="2"/>
  <c r="M39" i="2"/>
  <c r="L26" i="2"/>
  <c r="I40" i="2"/>
  <c r="G3" i="2"/>
  <c r="G40" i="2"/>
  <c r="G39" i="2"/>
  <c r="C24" i="2"/>
  <c r="C26" i="2" s="1"/>
  <c r="C43" i="2" s="1"/>
  <c r="H40" i="2"/>
  <c r="G26" i="2"/>
  <c r="G43" i="2" s="1"/>
  <c r="J40" i="2"/>
  <c r="I26" i="2"/>
  <c r="I43" i="2" s="1"/>
  <c r="F40" i="2"/>
  <c r="E40" i="2"/>
  <c r="F31" i="2"/>
  <c r="F33" i="2" s="1"/>
  <c r="F35" i="2" s="1"/>
  <c r="F36" i="2" s="1"/>
  <c r="D31" i="2"/>
  <c r="E31" i="2"/>
  <c r="H31" i="2"/>
  <c r="J31" i="2"/>
  <c r="Q5" i="2" l="1"/>
  <c r="R5" i="2"/>
  <c r="Q6" i="2"/>
  <c r="R20" i="2"/>
  <c r="P4" i="2"/>
  <c r="P22" i="2"/>
  <c r="P24" i="2" s="1"/>
  <c r="R2" i="2"/>
  <c r="R3" i="2"/>
  <c r="O25" i="2"/>
  <c r="O26" i="2" s="1"/>
  <c r="M31" i="2"/>
  <c r="M44" i="2" s="1"/>
  <c r="N24" i="2"/>
  <c r="N75" i="2" s="1"/>
  <c r="N9" i="2"/>
  <c r="N11" i="2" s="1"/>
  <c r="S2" i="2"/>
  <c r="S3" i="2"/>
  <c r="C31" i="2"/>
  <c r="C33" i="2" s="1"/>
  <c r="C35" i="2" s="1"/>
  <c r="C36" i="2" s="1"/>
  <c r="D40" i="2"/>
  <c r="L43" i="2"/>
  <c r="L31" i="2"/>
  <c r="F44" i="2"/>
  <c r="I31" i="2"/>
  <c r="I33" i="2" s="1"/>
  <c r="G31" i="2"/>
  <c r="G33" i="2" s="1"/>
  <c r="F41" i="2"/>
  <c r="J33" i="2"/>
  <c r="J44" i="2"/>
  <c r="H33" i="2"/>
  <c r="H44" i="2"/>
  <c r="E33" i="2"/>
  <c r="E44" i="2"/>
  <c r="D33" i="2"/>
  <c r="D44" i="2"/>
  <c r="M33" i="2" l="1"/>
  <c r="O39" i="2"/>
  <c r="O82" i="2" s="1"/>
  <c r="R6" i="2"/>
  <c r="S20" i="2"/>
  <c r="N45" i="2"/>
  <c r="O45" i="2" s="1"/>
  <c r="Q4" i="2"/>
  <c r="Q22" i="2"/>
  <c r="Q24" i="2" s="1"/>
  <c r="O90" i="2"/>
  <c r="O79" i="2"/>
  <c r="O91" i="2"/>
  <c r="O89" i="2"/>
  <c r="O88" i="2"/>
  <c r="O87" i="2"/>
  <c r="O86" i="2"/>
  <c r="O85" i="2"/>
  <c r="C41" i="2"/>
  <c r="C44" i="2"/>
  <c r="N26" i="2"/>
  <c r="N39" i="2"/>
  <c r="T2" i="2"/>
  <c r="T3" i="2"/>
  <c r="I44" i="2"/>
  <c r="G44" i="2"/>
  <c r="P25" i="2"/>
  <c r="P26" i="2" s="1"/>
  <c r="P39" i="2"/>
  <c r="M41" i="2"/>
  <c r="M35" i="2"/>
  <c r="L44" i="2"/>
  <c r="L33" i="2"/>
  <c r="D35" i="2"/>
  <c r="D36" i="2" s="1"/>
  <c r="D41" i="2"/>
  <c r="E35" i="2"/>
  <c r="E36" i="2" s="1"/>
  <c r="E41" i="2"/>
  <c r="I35" i="2"/>
  <c r="I36" i="2" s="1"/>
  <c r="I41" i="2"/>
  <c r="G35" i="2"/>
  <c r="G36" i="2" s="1"/>
  <c r="G41" i="2"/>
  <c r="H35" i="2"/>
  <c r="H41" i="2"/>
  <c r="J35" i="2"/>
  <c r="J36" i="2" s="1"/>
  <c r="J41" i="2"/>
  <c r="P45" i="2" l="1"/>
  <c r="O30" i="2"/>
  <c r="O31" i="2" s="1"/>
  <c r="T20" i="2"/>
  <c r="S6" i="2"/>
  <c r="R4" i="2"/>
  <c r="R22" i="2"/>
  <c r="R24" i="2" s="1"/>
  <c r="P88" i="2"/>
  <c r="P90" i="2"/>
  <c r="P91" i="2"/>
  <c r="P85" i="2"/>
  <c r="P79" i="2"/>
  <c r="P89" i="2"/>
  <c r="P84" i="2"/>
  <c r="P82" i="2"/>
  <c r="P98" i="2"/>
  <c r="P87" i="2"/>
  <c r="P86" i="2"/>
  <c r="P83" i="2"/>
  <c r="M36" i="2"/>
  <c r="M77" i="2"/>
  <c r="N31" i="2"/>
  <c r="N43" i="2"/>
  <c r="U3" i="2"/>
  <c r="U2" i="2"/>
  <c r="Q25" i="2"/>
  <c r="Q26" i="2" s="1"/>
  <c r="Q39" i="2"/>
  <c r="L41" i="2"/>
  <c r="L35" i="2"/>
  <c r="L77" i="2" s="1"/>
  <c r="H36" i="2"/>
  <c r="H47" i="2"/>
  <c r="I47" i="2" s="1"/>
  <c r="J47" i="2" s="1"/>
  <c r="T6" i="2" l="1"/>
  <c r="U20" i="2"/>
  <c r="O33" i="2"/>
  <c r="O44" i="2"/>
  <c r="Q45" i="2"/>
  <c r="P30" i="2"/>
  <c r="P31" i="2" s="1"/>
  <c r="P44" i="2" s="1"/>
  <c r="Q87" i="2"/>
  <c r="S4" i="2"/>
  <c r="S22" i="2"/>
  <c r="S24" i="2" s="1"/>
  <c r="S25" i="2" s="1"/>
  <c r="S26" i="2" s="1"/>
  <c r="Q83" i="2"/>
  <c r="Q86" i="2"/>
  <c r="Q98" i="2"/>
  <c r="Q84" i="2"/>
  <c r="Q89" i="2"/>
  <c r="Q90" i="2"/>
  <c r="Q82" i="2"/>
  <c r="Q79" i="2"/>
  <c r="Q85" i="2"/>
  <c r="Q91" i="2"/>
  <c r="Q88" i="2"/>
  <c r="N33" i="2"/>
  <c r="N44" i="2"/>
  <c r="V3" i="2"/>
  <c r="V2" i="2"/>
  <c r="R25" i="2"/>
  <c r="R26" i="2" s="1"/>
  <c r="R39" i="2"/>
  <c r="L36" i="2"/>
  <c r="R98" i="2" l="1"/>
  <c r="R45" i="2"/>
  <c r="R30" i="2" s="1"/>
  <c r="Q30" i="2"/>
  <c r="Q31" i="2" s="1"/>
  <c r="Q44" i="2" s="1"/>
  <c r="O34" i="2"/>
  <c r="O35" i="2" s="1"/>
  <c r="V20" i="2"/>
  <c r="U6" i="2"/>
  <c r="T4" i="2"/>
  <c r="T22" i="2"/>
  <c r="T24" i="2" s="1"/>
  <c r="R31" i="2"/>
  <c r="S39" i="2"/>
  <c r="S98" i="2" s="1"/>
  <c r="R88" i="2"/>
  <c r="S88" i="2" s="1"/>
  <c r="R85" i="2"/>
  <c r="S85" i="2" s="1"/>
  <c r="R79" i="2"/>
  <c r="S79" i="2" s="1"/>
  <c r="R82" i="2"/>
  <c r="S82" i="2" s="1"/>
  <c r="R86" i="2"/>
  <c r="S86" i="2" s="1"/>
  <c r="R84" i="2"/>
  <c r="R87" i="2"/>
  <c r="R83" i="2"/>
  <c r="R91" i="2"/>
  <c r="R90" i="2"/>
  <c r="R89" i="2"/>
  <c r="N35" i="2"/>
  <c r="N41" i="2"/>
  <c r="W2" i="2"/>
  <c r="W3" i="2"/>
  <c r="S30" i="2"/>
  <c r="S31" i="2" s="1"/>
  <c r="R44" i="2"/>
  <c r="S84" i="2" l="1"/>
  <c r="S89" i="2"/>
  <c r="S90" i="2"/>
  <c r="S83" i="2"/>
  <c r="W20" i="2"/>
  <c r="V6" i="2"/>
  <c r="O77" i="2"/>
  <c r="O92" i="2" s="1"/>
  <c r="O100" i="2" s="1"/>
  <c r="O47" i="2"/>
  <c r="O36" i="2"/>
  <c r="S91" i="2"/>
  <c r="S87" i="2"/>
  <c r="U4" i="2"/>
  <c r="U22" i="2"/>
  <c r="U24" i="2" s="1"/>
  <c r="N36" i="2"/>
  <c r="N77" i="2"/>
  <c r="X2" i="2"/>
  <c r="X3" i="2"/>
  <c r="S44" i="2"/>
  <c r="T39" i="2"/>
  <c r="T98" i="2" s="1"/>
  <c r="T25" i="2"/>
  <c r="T26" i="2" s="1"/>
  <c r="T30" i="2"/>
  <c r="W6" i="2" l="1"/>
  <c r="X20" i="2"/>
  <c r="X6" i="2" s="1"/>
  <c r="P32" i="2"/>
  <c r="P33" i="2" s="1"/>
  <c r="P34" i="2" s="1"/>
  <c r="P35" i="2" s="1"/>
  <c r="P47" i="2" s="1"/>
  <c r="V22" i="2"/>
  <c r="V24" i="2" s="1"/>
  <c r="V4" i="2"/>
  <c r="T83" i="2"/>
  <c r="T88" i="2"/>
  <c r="T87" i="2"/>
  <c r="T85" i="2"/>
  <c r="T86" i="2"/>
  <c r="U86" i="2" s="1"/>
  <c r="T89" i="2"/>
  <c r="U89" i="2" s="1"/>
  <c r="T79" i="2"/>
  <c r="U79" i="2" s="1"/>
  <c r="U98" i="2"/>
  <c r="U85" i="2"/>
  <c r="T82" i="2"/>
  <c r="T84" i="2"/>
  <c r="T91" i="2"/>
  <c r="T90" i="2"/>
  <c r="T31" i="2"/>
  <c r="T44" i="2" s="1"/>
  <c r="U25" i="2"/>
  <c r="U26" i="2" s="1"/>
  <c r="U39" i="2"/>
  <c r="U30" i="2"/>
  <c r="U88" i="2" l="1"/>
  <c r="U82" i="2"/>
  <c r="Q32" i="2"/>
  <c r="Q33" i="2" s="1"/>
  <c r="Q34" i="2" s="1"/>
  <c r="Q35" i="2" s="1"/>
  <c r="Q47" i="2" s="1"/>
  <c r="P77" i="2"/>
  <c r="P92" i="2" s="1"/>
  <c r="P100" i="2" s="1"/>
  <c r="P36" i="2"/>
  <c r="W22" i="2"/>
  <c r="W24" i="2" s="1"/>
  <c r="W4" i="2"/>
  <c r="U84" i="2"/>
  <c r="U83" i="2"/>
  <c r="V83" i="2" s="1"/>
  <c r="U87" i="2"/>
  <c r="U90" i="2"/>
  <c r="V90" i="2" s="1"/>
  <c r="U91" i="2"/>
  <c r="V91" i="2" s="1"/>
  <c r="V84" i="2"/>
  <c r="V82" i="2"/>
  <c r="U31" i="2"/>
  <c r="U44" i="2" s="1"/>
  <c r="V30" i="2"/>
  <c r="V25" i="2"/>
  <c r="V26" i="2" s="1"/>
  <c r="V39" i="2"/>
  <c r="V85" i="2" s="1"/>
  <c r="V98" i="2" l="1"/>
  <c r="V86" i="2"/>
  <c r="R32" i="2"/>
  <c r="R33" i="2" s="1"/>
  <c r="R34" i="2" s="1"/>
  <c r="R35" i="2" s="1"/>
  <c r="R47" i="2" s="1"/>
  <c r="S32" i="2" s="1"/>
  <c r="S33" i="2" s="1"/>
  <c r="S34" i="2" s="1"/>
  <c r="S35" i="2" s="1"/>
  <c r="S77" i="2" s="1"/>
  <c r="S92" i="2" s="1"/>
  <c r="S100" i="2" s="1"/>
  <c r="Q77" i="2"/>
  <c r="Q92" i="2" s="1"/>
  <c r="Q100" i="2" s="1"/>
  <c r="Q36" i="2"/>
  <c r="V87" i="2"/>
  <c r="X4" i="2"/>
  <c r="X22" i="2"/>
  <c r="X24" i="2" s="1"/>
  <c r="V88" i="2"/>
  <c r="V89" i="2"/>
  <c r="V79" i="2"/>
  <c r="V31" i="2"/>
  <c r="V44" i="2" s="1"/>
  <c r="W30" i="2"/>
  <c r="W25" i="2"/>
  <c r="W26" i="2" s="1"/>
  <c r="W39" i="2"/>
  <c r="W87" i="2" s="1"/>
  <c r="R77" i="2" l="1"/>
  <c r="R92" i="2" s="1"/>
  <c r="R100" i="2" s="1"/>
  <c r="R36" i="2"/>
  <c r="S47" i="2"/>
  <c r="T32" i="2" s="1"/>
  <c r="T33" i="2" s="1"/>
  <c r="T34" i="2" s="1"/>
  <c r="T35" i="2" s="1"/>
  <c r="T77" i="2" s="1"/>
  <c r="T92" i="2" s="1"/>
  <c r="T100" i="2" s="1"/>
  <c r="S36" i="2"/>
  <c r="W31" i="2"/>
  <c r="W44" i="2" s="1"/>
  <c r="W85" i="2"/>
  <c r="W88" i="2"/>
  <c r="W89" i="2"/>
  <c r="W79" i="2"/>
  <c r="W90" i="2"/>
  <c r="W84" i="2"/>
  <c r="W82" i="2"/>
  <c r="W86" i="2"/>
  <c r="W98" i="2"/>
  <c r="W91" i="2"/>
  <c r="W83" i="2"/>
  <c r="T36" i="2" l="1"/>
  <c r="T47" i="2"/>
  <c r="U32" i="2" s="1"/>
  <c r="U33" i="2" s="1"/>
  <c r="U34" i="2" s="1"/>
  <c r="U35" i="2" s="1"/>
  <c r="U77" i="2" s="1"/>
  <c r="U92" i="2" s="1"/>
  <c r="U100" i="2" s="1"/>
  <c r="U47" i="2" l="1"/>
  <c r="V32" i="2" s="1"/>
  <c r="V33" i="2" s="1"/>
  <c r="U36" i="2"/>
  <c r="V34" i="2" l="1"/>
  <c r="V35" i="2" s="1"/>
  <c r="V77" i="2" s="1"/>
  <c r="V92" i="2" s="1"/>
  <c r="V100" i="2" s="1"/>
  <c r="V36" i="2" l="1"/>
  <c r="V47" i="2"/>
  <c r="W32" i="2" l="1"/>
  <c r="W33" i="2" s="1"/>
  <c r="W34" i="2" s="1"/>
  <c r="W35" i="2" s="1"/>
  <c r="W77" i="2" s="1"/>
  <c r="W92" i="2" s="1"/>
  <c r="W100" i="2" s="1"/>
  <c r="W36" i="2" l="1"/>
  <c r="W47" i="2"/>
  <c r="X32" i="2" l="1"/>
  <c r="X39" i="2"/>
  <c r="X83" i="2" s="1"/>
  <c r="X25" i="2"/>
  <c r="X26" i="2" s="1"/>
  <c r="X30" i="2"/>
  <c r="X87" i="2" l="1"/>
  <c r="X31" i="2"/>
  <c r="X44" i="2"/>
  <c r="X33" i="2"/>
  <c r="X82" i="2"/>
  <c r="X91" i="2"/>
  <c r="X90" i="2"/>
  <c r="X89" i="2"/>
  <c r="X86" i="2"/>
  <c r="X85" i="2"/>
  <c r="X84" i="2"/>
  <c r="X79" i="2"/>
  <c r="X88" i="2"/>
  <c r="X98" i="2"/>
  <c r="X34" i="2" l="1"/>
  <c r="X35" i="2" s="1"/>
  <c r="X77" i="2" l="1"/>
  <c r="X92" i="2" s="1"/>
  <c r="X100" i="2" s="1"/>
  <c r="X47" i="2"/>
  <c r="X36" i="2"/>
  <c r="Y100" i="2" l="1"/>
  <c r="Z100" i="2" l="1"/>
  <c r="AA100" i="2" s="1"/>
  <c r="AB100" i="2" s="1"/>
  <c r="AC100" i="2" s="1"/>
  <c r="AD100" i="2" s="1"/>
  <c r="AE100" i="2" s="1"/>
  <c r="AF100" i="2" s="1"/>
  <c r="AG100" i="2" s="1"/>
  <c r="AH100" i="2" s="1"/>
  <c r="AI100" i="2" s="1"/>
  <c r="AJ100" i="2" s="1"/>
  <c r="AK100" i="2" s="1"/>
  <c r="AL100" i="2" s="1"/>
  <c r="AM100" i="2" s="1"/>
  <c r="AN100" i="2" s="1"/>
  <c r="AO100" i="2" s="1"/>
  <c r="AP100" i="2" s="1"/>
  <c r="AQ100" i="2" s="1"/>
  <c r="AR100" i="2" s="1"/>
  <c r="AS100" i="2" s="1"/>
  <c r="AT100" i="2" s="1"/>
  <c r="AU100" i="2" s="1"/>
  <c r="AV100" i="2" s="1"/>
  <c r="AW100" i="2" s="1"/>
  <c r="AX100" i="2" s="1"/>
  <c r="AY100" i="2" s="1"/>
  <c r="AZ100" i="2" s="1"/>
  <c r="BA100" i="2" s="1"/>
  <c r="BB100" i="2" s="1"/>
  <c r="BC100" i="2" s="1"/>
  <c r="BD100" i="2" s="1"/>
  <c r="BE100" i="2" s="1"/>
  <c r="BF100" i="2" s="1"/>
  <c r="BG100" i="2" s="1"/>
  <c r="BH100" i="2" s="1"/>
  <c r="BI100" i="2" s="1"/>
  <c r="BJ100" i="2" s="1"/>
  <c r="BK100" i="2" s="1"/>
  <c r="BL100" i="2" s="1"/>
  <c r="BM100" i="2" s="1"/>
  <c r="BN100" i="2" s="1"/>
  <c r="BO100" i="2" s="1"/>
  <c r="BP100" i="2" s="1"/>
  <c r="BQ100" i="2" s="1"/>
  <c r="BR100" i="2" s="1"/>
  <c r="BS100" i="2" s="1"/>
  <c r="BT100" i="2" s="1"/>
  <c r="BU100" i="2" s="1"/>
  <c r="BV100" i="2" s="1"/>
  <c r="BW100" i="2" s="1"/>
  <c r="BX100" i="2" s="1"/>
  <c r="BY100" i="2" s="1"/>
  <c r="BZ100" i="2" s="1"/>
  <c r="CA100" i="2" s="1"/>
  <c r="CB100" i="2" s="1"/>
  <c r="CC100" i="2" s="1"/>
  <c r="CD100" i="2" s="1"/>
  <c r="CE100" i="2" s="1"/>
  <c r="CF100" i="2" s="1"/>
  <c r="CG100" i="2" s="1"/>
  <c r="CH100" i="2" s="1"/>
  <c r="CI100" i="2" s="1"/>
  <c r="CJ100" i="2" s="1"/>
  <c r="CK100" i="2" s="1"/>
  <c r="CL100" i="2" s="1"/>
  <c r="CM100" i="2" s="1"/>
  <c r="CN100" i="2" s="1"/>
  <c r="CO100" i="2" s="1"/>
  <c r="CP100" i="2" s="1"/>
  <c r="CQ100" i="2" s="1"/>
  <c r="CR100" i="2" s="1"/>
  <c r="CS100" i="2" s="1"/>
  <c r="CT100" i="2" s="1"/>
  <c r="CU100" i="2" s="1"/>
  <c r="CV100" i="2" s="1"/>
  <c r="CW100" i="2" s="1"/>
  <c r="CX100" i="2" s="1"/>
  <c r="CY100" i="2" s="1"/>
  <c r="CZ100" i="2" s="1"/>
  <c r="DA100" i="2" s="1"/>
  <c r="DB100" i="2" s="1"/>
  <c r="DC100" i="2" s="1"/>
  <c r="DD100" i="2" s="1"/>
  <c r="DE100" i="2" s="1"/>
  <c r="DF100" i="2" s="1"/>
  <c r="DG100" i="2" s="1"/>
  <c r="DH100" i="2" s="1"/>
  <c r="DI100" i="2" s="1"/>
  <c r="DJ100" i="2" s="1"/>
  <c r="DK100" i="2" s="1"/>
  <c r="DL100" i="2" s="1"/>
  <c r="DM100" i="2" s="1"/>
  <c r="DN100" i="2" s="1"/>
  <c r="DO100" i="2" s="1"/>
  <c r="DP100" i="2" s="1"/>
  <c r="DQ100" i="2" s="1"/>
  <c r="DR100" i="2" s="1"/>
  <c r="AA92" i="2" l="1"/>
  <c r="AA94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tc={B7E84E5B-E643-46F3-B8A4-F7B9821685DD}</author>
    <author>tc={9B1F5596-FB23-4BFF-A373-2BA3957554B5}</author>
    <author>tc={240B6991-7C0B-4C1F-8F80-A6B8E1CB34A3}</author>
  </authors>
  <commentList>
    <comment ref="B18" authorId="0" shapeId="0" xr:uid="{B7E84E5B-E643-46F3-B8A4-F7B9821685DD}">
      <text>
        <t>[Threaded comment]
Your version of Excel allows you to read this threaded comment; however, any edits to it will get removed if the file is opened in a newer version of Excel. Learn more: https://go.microsoft.com/fwlink/?linkid=870924
Comment:
    Covid19</t>
      </text>
    </comment>
    <comment ref="B19" authorId="1" shapeId="0" xr:uid="{9B1F5596-FB23-4BFF-A373-2BA3957554B5}">
      <text>
        <t>[Threaded comment]
Your version of Excel allows you to read this threaded comment; however, any edits to it will get removed if the file is opened in a newer version of Excel. Learn more: https://go.microsoft.com/fwlink/?linkid=870924
Comment:
    Ct + trodelvy are oncology</t>
      </text>
    </comment>
    <comment ref="O22" authorId="2" shapeId="0" xr:uid="{240B6991-7C0B-4C1F-8F80-A6B8E1CB34A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Guidance
</t>
      </text>
    </comment>
  </commentList>
</comments>
</file>

<file path=xl/sharedStrings.xml><?xml version="1.0" encoding="utf-8"?>
<sst xmlns="http://schemas.openxmlformats.org/spreadsheetml/2006/main" count="115" uniqueCount="101">
  <si>
    <t>Price</t>
  </si>
  <si>
    <t>Shares</t>
  </si>
  <si>
    <t>MC</t>
  </si>
  <si>
    <t>Cash</t>
  </si>
  <si>
    <t>Debt</t>
  </si>
  <si>
    <t>EV</t>
  </si>
  <si>
    <t>Q125</t>
  </si>
  <si>
    <t>Main</t>
  </si>
  <si>
    <t>Revenue</t>
  </si>
  <si>
    <t>Q124</t>
  </si>
  <si>
    <t>Q224</t>
  </si>
  <si>
    <t>Q324</t>
  </si>
  <si>
    <t>Q424</t>
  </si>
  <si>
    <t>Q225</t>
  </si>
  <si>
    <t>Q325</t>
  </si>
  <si>
    <t>Q425</t>
  </si>
  <si>
    <t>Product Sales</t>
  </si>
  <si>
    <t>Royalty</t>
  </si>
  <si>
    <t>COGS</t>
  </si>
  <si>
    <t>Gross Profit</t>
  </si>
  <si>
    <t>R&amp;D</t>
  </si>
  <si>
    <t>Acquired R&amp;D</t>
  </si>
  <si>
    <t>SG&amp;A</t>
  </si>
  <si>
    <t>Operating Expense</t>
  </si>
  <si>
    <t>Operating Income</t>
  </si>
  <si>
    <t>Interest Income</t>
  </si>
  <si>
    <t>Pretax Income</t>
  </si>
  <si>
    <t>Tax</t>
  </si>
  <si>
    <t>Net Income</t>
  </si>
  <si>
    <t>EPS</t>
  </si>
  <si>
    <t>Revenue y/y</t>
  </si>
  <si>
    <t>Tax Rate</t>
  </si>
  <si>
    <t>Gross Margin</t>
  </si>
  <si>
    <t>Operating Margin</t>
  </si>
  <si>
    <t>CFFO</t>
  </si>
  <si>
    <t>FCF</t>
  </si>
  <si>
    <t>Net Cash</t>
  </si>
  <si>
    <t>Revenue q/q</t>
  </si>
  <si>
    <t>Biktarvy</t>
  </si>
  <si>
    <t>Other HIV</t>
  </si>
  <si>
    <t>Liver Disease</t>
  </si>
  <si>
    <t>Cell Therapy</t>
  </si>
  <si>
    <t>Trodelvy</t>
  </si>
  <si>
    <t>Other</t>
  </si>
  <si>
    <t>USA Revenue</t>
  </si>
  <si>
    <t>Other Revenue</t>
  </si>
  <si>
    <t>Biktarvy y/y</t>
  </si>
  <si>
    <t>"biktarvy expires 2033"</t>
  </si>
  <si>
    <t>Veklury</t>
  </si>
  <si>
    <t>HIV y/y</t>
  </si>
  <si>
    <t>OPEX Margin</t>
  </si>
  <si>
    <t>ROIC</t>
  </si>
  <si>
    <t>Maturity</t>
  </si>
  <si>
    <t>Discount</t>
  </si>
  <si>
    <t>NPV</t>
  </si>
  <si>
    <t>Diff</t>
  </si>
  <si>
    <t>Lenacapavir</t>
  </si>
  <si>
    <t>Liver Disease y/y</t>
  </si>
  <si>
    <t>Veklury y/y</t>
  </si>
  <si>
    <t>USA % of R</t>
  </si>
  <si>
    <t>Other % of R</t>
  </si>
  <si>
    <t>Short-term Securities</t>
  </si>
  <si>
    <t>AR</t>
  </si>
  <si>
    <t>Inventories</t>
  </si>
  <si>
    <t>Prepaid Cur. Assets</t>
  </si>
  <si>
    <t>PP&amp;E</t>
  </si>
  <si>
    <t>Long-term Securities</t>
  </si>
  <si>
    <t>Intangible Assets</t>
  </si>
  <si>
    <t>GW</t>
  </si>
  <si>
    <t>Other Long-term Assets</t>
  </si>
  <si>
    <t>Assets</t>
  </si>
  <si>
    <t>AP</t>
  </si>
  <si>
    <t>Accrued Rebates</t>
  </si>
  <si>
    <t>Current Debt</t>
  </si>
  <si>
    <t>Other Cur. Liabilities</t>
  </si>
  <si>
    <t>DTL</t>
  </si>
  <si>
    <t>LT Debt</t>
  </si>
  <si>
    <t>LT Tax Payable</t>
  </si>
  <si>
    <t>Other LT Obligations</t>
  </si>
  <si>
    <t>SE</t>
  </si>
  <si>
    <t>L+SE</t>
  </si>
  <si>
    <t>Liabilities</t>
  </si>
  <si>
    <t>DSO</t>
  </si>
  <si>
    <t>Model NI</t>
  </si>
  <si>
    <t>Reported NI</t>
  </si>
  <si>
    <t>D&amp;A</t>
  </si>
  <si>
    <t>Stock-based Comp</t>
  </si>
  <si>
    <t>Deferred IT</t>
  </si>
  <si>
    <t>Equity Security Loss</t>
  </si>
  <si>
    <t>In-process R&amp;D Impairment</t>
  </si>
  <si>
    <t>Prepaid Expenses</t>
  </si>
  <si>
    <t>IT Assets &amp; Liabilties</t>
  </si>
  <si>
    <t>Accrued Liabilities</t>
  </si>
  <si>
    <t>Purchase Debt Securities</t>
  </si>
  <si>
    <t>Sale of Debt Securities</t>
  </si>
  <si>
    <t>Maturity of Debt Securities</t>
  </si>
  <si>
    <t xml:space="preserve">Acquisitions &amp; Acquired R&amp;D </t>
  </si>
  <si>
    <t>Purchase of Equity Securites</t>
  </si>
  <si>
    <t>CAPEX</t>
  </si>
  <si>
    <t>Oncology y/y</t>
  </si>
  <si>
    <t>Livdelzi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</si>
</sst>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rial"/>
      <family val="2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u/>
      <sz val="11"/>
      <color theme="10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2" fillId="0" borderId="0" xfId="0" applyFont="1"/>
    <xf numFmtId="3" fontId="0" fillId="0" borderId="0" xfId="0" applyNumberFormat="1"/>
    <xf numFmtId="4" fontId="0" fillId="0" borderId="0" xfId="0" applyNumberFormat="1"/>
    <xf numFmtId="3" fontId="5" fillId="0" borderId="0" xfId="1" applyNumberFormat="1" applyFont="1"/>
    <xf numFmtId="3" fontId="1" fillId="0" borderId="0" xfId="0" applyNumberFormat="1" applyFont="1"/>
    <xf numFmtId="1" fontId="1" fillId="0" borderId="0" xfId="0" applyNumberFormat="1" applyFont="1"/>
    <xf numFmtId="3" fontId="4" fillId="0" borderId="0" xfId="0" applyNumberFormat="1" applyFont="1"/>
    <xf numFmtId="9" fontId="4" fillId="0" borderId="0" xfId="0" applyNumberFormat="1" applyFont="1"/>
    <xf numFmtId="9" fontId="1" fillId="0" borderId="0" xfId="0" applyNumberFormat="1" applyFont="1"/>
    <xf numFmtId="0" fontId="1" fillId="0" borderId="0" xfId="0" applyFont="1"/>
    <xf numFmtId="4" fontId="1" fillId="0" borderId="0" xfId="0" applyNumberFormat="1" applyFont="1"/>
    <xf numFmtId="10" fontId="1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676275</xdr:colOff>
      <xdr:row>0</xdr:row>
      <xdr:rowOff>38100</xdr:rowOff>
    </xdr:from>
    <xdr:to>
      <xdr:col>7</xdr:col>
      <xdr:colOff>0</xdr:colOff>
      <xdr:row>112</xdr:row>
      <xdr:rowOff>104775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A092736E-62D6-0506-8E7B-E90D706562FE}"/>
            </a:ext>
          </a:extLst>
        </xdr:cNvPr>
        <xdr:cNvCxnSpPr/>
      </xdr:nvCxnSpPr>
      <xdr:spPr>
        <a:xfrm>
          <a:off x="5295900" y="38100"/>
          <a:ext cx="9525" cy="2047875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0</xdr:row>
      <xdr:rowOff>0</xdr:rowOff>
    </xdr:from>
    <xdr:to>
      <xdr:col>14</xdr:col>
      <xdr:colOff>9525</xdr:colOff>
      <xdr:row>109</xdr:row>
      <xdr:rowOff>95250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549AC80-67DC-4299-B869-D48080DA9F54}"/>
            </a:ext>
          </a:extLst>
        </xdr:cNvPr>
        <xdr:cNvCxnSpPr/>
      </xdr:nvCxnSpPr>
      <xdr:spPr>
        <a:xfrm flipH="1">
          <a:off x="10106025" y="0"/>
          <a:ext cx="9525" cy="1996440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Liam R" id="{62EC2AA5-A128-42F0-973B-855348F7632A}" userId="be0b8782fa6c70c8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8" dT="2025-05-11T02:08:09.62" personId="{62EC2AA5-A128-42F0-973B-855348F7632A}" id="{B7E84E5B-E643-46F3-B8A4-F7B9821685DD}">
    <text>Covid19</text>
  </threadedComment>
  <threadedComment ref="B19" dT="2025-05-11T02:06:28.88" personId="{62EC2AA5-A128-42F0-973B-855348F7632A}" id="{9B1F5596-FB23-4BFF-A373-2BA3957554B5}">
    <text>Ct + trodelvy are oncology</text>
  </threadedComment>
  <threadedComment ref="O22" dT="2025-05-10T06:45:35.40" personId="{62EC2AA5-A128-42F0-973B-855348F7632A}" id="{240B6991-7C0B-4C1F-8F80-A6B8E1CB34A3}">
    <text xml:space="preserve">Guidance
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03042-0724-4188-A047-AF171A2F2E1F}">
  <dimension ref="A1:N7"/>
  <sheetViews>
    <sheetView zoomScale="115" zoomScaleNormal="115" workbookViewId="0">
      <selection activeCell="M3" sqref="M3"/>
    </sheetView>
  </sheetViews>
  <sheetFormatPr defaultRowHeight="14.25" x14ac:dyDescent="0.2"/>
  <cols>
    <col min="1" max="1" width="2.625" customWidth="1"/>
  </cols>
  <sheetData>
    <row r="1" spans="1:14" ht="15" x14ac:dyDescent="0.25">
      <c r="A1" s="1"/>
    </row>
    <row r="2" spans="1:14" x14ac:dyDescent="0.2">
      <c r="B2" t="s">
        <v>47</v>
      </c>
      <c r="L2" t="s">
        <v>0</v>
      </c>
      <c r="M2" s="3">
        <v>109</v>
      </c>
    </row>
    <row r="3" spans="1:14" x14ac:dyDescent="0.2">
      <c r="L3" t="s">
        <v>1</v>
      </c>
      <c r="M3" s="2">
        <v>1243.9290000000001</v>
      </c>
      <c r="N3" t="s">
        <v>6</v>
      </c>
    </row>
    <row r="4" spans="1:14" x14ac:dyDescent="0.2">
      <c r="L4" t="s">
        <v>2</v>
      </c>
      <c r="M4" s="2">
        <f>M3*M2</f>
        <v>135588.261</v>
      </c>
    </row>
    <row r="5" spans="1:14" x14ac:dyDescent="0.2">
      <c r="L5" t="s">
        <v>3</v>
      </c>
      <c r="M5" s="2">
        <v>7926</v>
      </c>
      <c r="N5" t="s">
        <v>6</v>
      </c>
    </row>
    <row r="6" spans="1:14" x14ac:dyDescent="0.2">
      <c r="L6" t="s">
        <v>4</v>
      </c>
      <c r="M6" s="2">
        <f>22146+819+709+1337</f>
        <v>25011</v>
      </c>
      <c r="N6" t="s">
        <v>6</v>
      </c>
    </row>
    <row r="7" spans="1:14" x14ac:dyDescent="0.2">
      <c r="L7" t="s">
        <v>5</v>
      </c>
      <c r="M7" s="2">
        <f>M4+M6-M5</f>
        <v>152673.261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5CDA4-2070-45E2-99A5-CB7B98D2FA3E}">
  <dimension ref="A1:DR100"/>
  <sheetViews>
    <sheetView tabSelected="1" zoomScale="130" zoomScaleNormal="130" workbookViewId="0">
      <pane xSplit="2" ySplit="1" topLeftCell="S2" activePane="bottomRight" state="frozen"/>
      <selection pane="topRight" activeCell="C1" sqref="C1"/>
      <selection pane="bottomLeft" activeCell="A2" sqref="A2"/>
      <selection pane="bottomRight" activeCell="V17" sqref="V17"/>
    </sheetView>
  </sheetViews>
  <sheetFormatPr defaultRowHeight="12.75" x14ac:dyDescent="0.2"/>
  <cols>
    <col min="1" max="1" width="4.375" style="5" customWidth="1"/>
    <col min="2" max="2" width="20.25" style="5" customWidth="1"/>
    <col min="3" max="16384" width="9" style="5"/>
  </cols>
  <sheetData>
    <row r="1" spans="1:24" x14ac:dyDescent="0.2">
      <c r="A1" s="4" t="s">
        <v>7</v>
      </c>
      <c r="C1" s="5" t="s">
        <v>9</v>
      </c>
      <c r="D1" s="5" t="s">
        <v>10</v>
      </c>
      <c r="E1" s="5" t="s">
        <v>11</v>
      </c>
      <c r="F1" s="5" t="s">
        <v>12</v>
      </c>
      <c r="G1" s="5" t="s">
        <v>6</v>
      </c>
      <c r="H1" s="5" t="s">
        <v>13</v>
      </c>
      <c r="I1" s="5" t="s">
        <v>14</v>
      </c>
      <c r="J1" s="5" t="s">
        <v>15</v>
      </c>
      <c r="L1" s="6">
        <v>2022</v>
      </c>
      <c r="M1" s="6">
        <f>L1+1</f>
        <v>2023</v>
      </c>
      <c r="N1" s="6">
        <f t="shared" ref="N1:X1" si="0">M1+1</f>
        <v>2024</v>
      </c>
      <c r="O1" s="6">
        <f t="shared" si="0"/>
        <v>2025</v>
      </c>
      <c r="P1" s="6">
        <f t="shared" si="0"/>
        <v>2026</v>
      </c>
      <c r="Q1" s="6">
        <f t="shared" si="0"/>
        <v>2027</v>
      </c>
      <c r="R1" s="6">
        <f t="shared" si="0"/>
        <v>2028</v>
      </c>
      <c r="S1" s="6">
        <f t="shared" si="0"/>
        <v>2029</v>
      </c>
      <c r="T1" s="6">
        <f t="shared" si="0"/>
        <v>2030</v>
      </c>
      <c r="U1" s="6">
        <f t="shared" si="0"/>
        <v>2031</v>
      </c>
      <c r="V1" s="6">
        <f t="shared" si="0"/>
        <v>2032</v>
      </c>
      <c r="W1" s="6">
        <f t="shared" si="0"/>
        <v>2033</v>
      </c>
      <c r="X1" s="6">
        <f t="shared" si="0"/>
        <v>2034</v>
      </c>
    </row>
    <row r="2" spans="1:24" s="7" customFormat="1" x14ac:dyDescent="0.2">
      <c r="A2" s="4"/>
      <c r="B2" s="7" t="s">
        <v>46</v>
      </c>
      <c r="G2" s="8">
        <f>G15/C15-1</f>
        <v>6.9246435845213838E-2</v>
      </c>
      <c r="H2" s="8" t="e">
        <f>H15/D15-1</f>
        <v>#DIV/0!</v>
      </c>
      <c r="I2" s="8" t="e">
        <f>I15/E15-1</f>
        <v>#DIV/0!</v>
      </c>
      <c r="J2" s="8" t="e">
        <f>J15/F15-1</f>
        <v>#DIV/0!</v>
      </c>
      <c r="L2" s="8"/>
      <c r="M2" s="8">
        <f>M15/L15-1</f>
        <v>0.1405197305101058</v>
      </c>
      <c r="N2" s="8">
        <f t="shared" ref="N2:X2" si="1">N15/M15-1</f>
        <v>0.13274261603375526</v>
      </c>
      <c r="O2" s="8">
        <f t="shared" si="1"/>
        <v>4.0000000000000036E-2</v>
      </c>
      <c r="P2" s="8">
        <f t="shared" si="1"/>
        <v>2.8710766250810149E-3</v>
      </c>
      <c r="Q2" s="8">
        <f t="shared" si="1"/>
        <v>0</v>
      </c>
      <c r="R2" s="8">
        <f t="shared" si="1"/>
        <v>0</v>
      </c>
      <c r="S2" s="8">
        <f t="shared" si="1"/>
        <v>0</v>
      </c>
      <c r="T2" s="8">
        <f t="shared" si="1"/>
        <v>0</v>
      </c>
      <c r="U2" s="8">
        <f t="shared" si="1"/>
        <v>0</v>
      </c>
      <c r="V2" s="8">
        <f t="shared" si="1"/>
        <v>0</v>
      </c>
      <c r="W2" s="8">
        <f t="shared" si="1"/>
        <v>0</v>
      </c>
      <c r="X2" s="8">
        <f t="shared" si="1"/>
        <v>0</v>
      </c>
    </row>
    <row r="3" spans="1:24" x14ac:dyDescent="0.2">
      <c r="A3" s="4"/>
      <c r="B3" s="5" t="s">
        <v>49</v>
      </c>
      <c r="G3" s="9">
        <f>SUM(G15:G16)/SUM(C15:C16)-1</f>
        <v>5.6425610317825781E-2</v>
      </c>
      <c r="H3" s="9" t="e">
        <f>SUM(H15:H16)/SUM(D15:D16)-1</f>
        <v>#DIV/0!</v>
      </c>
      <c r="I3" s="9" t="e">
        <f>SUM(I15:I16)/SUM(E15:E16)-1</f>
        <v>#DIV/0!</v>
      </c>
      <c r="J3" s="9" t="e">
        <f>SUM(J15:J16)/SUM(F15:F16)-1</f>
        <v>#DIV/0!</v>
      </c>
      <c r="L3" s="9"/>
      <c r="M3" s="9">
        <f>SUM(M15:M16)/SUM(L15:L16)-1</f>
        <v>5.7054786553448977E-2</v>
      </c>
      <c r="N3" s="9">
        <f>SUM(N15:N16)/SUM(M15:M16)-1</f>
        <v>7.9064649243466345E-2</v>
      </c>
      <c r="O3" s="9">
        <f t="shared" ref="O3:X3" si="2">SUM(O15:O16)/SUM(N15:N16)-1</f>
        <v>4.0000000000000036E-2</v>
      </c>
      <c r="P3" s="9">
        <f t="shared" si="2"/>
        <v>1.4587928897535463E-2</v>
      </c>
      <c r="Q3" s="9">
        <f t="shared" si="2"/>
        <v>1.2939045431786145E-2</v>
      </c>
      <c r="R3" s="9">
        <f t="shared" si="2"/>
        <v>1.3284715708951067E-2</v>
      </c>
      <c r="S3" s="9">
        <f t="shared" si="2"/>
        <v>1.3634967668137321E-2</v>
      </c>
      <c r="T3" s="9">
        <f t="shared" si="2"/>
        <v>1.3989618380554125E-2</v>
      </c>
      <c r="U3" s="9">
        <f t="shared" si="2"/>
        <v>1.4348473447896914E-2</v>
      </c>
      <c r="V3" s="9">
        <f t="shared" si="2"/>
        <v>1.471132729671254E-2</v>
      </c>
      <c r="W3" s="9">
        <f t="shared" si="2"/>
        <v>1.5077963532092564E-2</v>
      </c>
      <c r="X3" s="9">
        <f t="shared" si="2"/>
        <v>1.5448155350365367E-2</v>
      </c>
    </row>
    <row r="4" spans="1:24" s="7" customFormat="1" x14ac:dyDescent="0.2">
      <c r="A4" s="4"/>
      <c r="B4" s="5" t="s">
        <v>57</v>
      </c>
      <c r="G4" s="8"/>
      <c r="H4" s="8"/>
      <c r="I4" s="8"/>
      <c r="J4" s="8"/>
      <c r="L4" s="8"/>
      <c r="M4" s="9">
        <f>M17/L17-1</f>
        <v>-5.0035739814152658E-3</v>
      </c>
      <c r="N4" s="9">
        <f>N17/M17-1</f>
        <v>8.5129310344827624E-2</v>
      </c>
      <c r="O4" s="9">
        <f t="shared" ref="O4:X4" si="3">O17/N17-1</f>
        <v>3.0000000000000027E-2</v>
      </c>
      <c r="P4" s="9">
        <f t="shared" si="3"/>
        <v>3.0000000000000027E-2</v>
      </c>
      <c r="Q4" s="9">
        <f t="shared" si="3"/>
        <v>3.0000000000000027E-2</v>
      </c>
      <c r="R4" s="9">
        <f t="shared" si="3"/>
        <v>3.0000000000000027E-2</v>
      </c>
      <c r="S4" s="9">
        <f t="shared" si="3"/>
        <v>3.0000000000000027E-2</v>
      </c>
      <c r="T4" s="9">
        <f t="shared" si="3"/>
        <v>3.0000000000000027E-2</v>
      </c>
      <c r="U4" s="9">
        <f t="shared" si="3"/>
        <v>3.0000000000000027E-2</v>
      </c>
      <c r="V4" s="9">
        <f t="shared" si="3"/>
        <v>3.0000000000000027E-2</v>
      </c>
      <c r="W4" s="9">
        <f t="shared" si="3"/>
        <v>3.0000000000000027E-2</v>
      </c>
      <c r="X4" s="9">
        <f t="shared" si="3"/>
        <v>3.0000000000000027E-2</v>
      </c>
    </row>
    <row r="5" spans="1:24" s="7" customFormat="1" x14ac:dyDescent="0.2">
      <c r="A5" s="4"/>
      <c r="B5" s="5" t="s">
        <v>58</v>
      </c>
      <c r="G5" s="8"/>
      <c r="H5" s="8"/>
      <c r="I5" s="8"/>
      <c r="J5" s="8"/>
      <c r="L5" s="8"/>
      <c r="M5" s="9">
        <f>M18/L18-1</f>
        <v>-0.44071702944942381</v>
      </c>
      <c r="N5" s="9">
        <f t="shared" ref="N5:X5" si="4">N18/M18-1</f>
        <v>-0.17628205128205132</v>
      </c>
      <c r="O5" s="9">
        <f t="shared" si="4"/>
        <v>-0.22234574763757642</v>
      </c>
      <c r="P5" s="9">
        <f t="shared" si="4"/>
        <v>-0.5</v>
      </c>
      <c r="Q5" s="9">
        <f t="shared" si="4"/>
        <v>-0.5</v>
      </c>
      <c r="R5" s="9">
        <f t="shared" si="4"/>
        <v>-1</v>
      </c>
      <c r="S5" s="9" t="e">
        <f t="shared" si="4"/>
        <v>#DIV/0!</v>
      </c>
      <c r="T5" s="9" t="e">
        <f t="shared" si="4"/>
        <v>#DIV/0!</v>
      </c>
      <c r="U5" s="9" t="e">
        <f t="shared" si="4"/>
        <v>#DIV/0!</v>
      </c>
      <c r="V5" s="9" t="e">
        <f t="shared" si="4"/>
        <v>#DIV/0!</v>
      </c>
      <c r="W5" s="9" t="e">
        <f t="shared" si="4"/>
        <v>#DIV/0!</v>
      </c>
      <c r="X5" s="9" t="e">
        <f t="shared" si="4"/>
        <v>#DIV/0!</v>
      </c>
    </row>
    <row r="6" spans="1:24" s="7" customFormat="1" x14ac:dyDescent="0.2">
      <c r="A6" s="4"/>
      <c r="B6" s="5" t="s">
        <v>99</v>
      </c>
      <c r="G6" s="8"/>
      <c r="H6" s="8"/>
      <c r="I6" s="8"/>
      <c r="J6" s="8"/>
      <c r="L6" s="8"/>
      <c r="M6" s="9">
        <f>SUM(M19:M20)/SUM(L19:L20)-1</f>
        <v>0.37073398784478728</v>
      </c>
      <c r="N6" s="9">
        <f t="shared" ref="N6:X6" si="5">SUM(N19:N20)/SUM(M19:M20)-1</f>
        <v>0.12141882673942694</v>
      </c>
      <c r="O6" s="9">
        <f t="shared" si="5"/>
        <v>7.7998783454987786E-2</v>
      </c>
      <c r="P6" s="9">
        <f t="shared" si="5"/>
        <v>7.8087832843366956E-2</v>
      </c>
      <c r="Q6" s="9">
        <f t="shared" si="5"/>
        <v>7.8177198119395275E-2</v>
      </c>
      <c r="R6" s="9">
        <f t="shared" si="5"/>
        <v>7.8266865563181964E-2</v>
      </c>
      <c r="S6" s="9">
        <f t="shared" si="5"/>
        <v>7.8356821257937748E-2</v>
      </c>
      <c r="T6" s="9">
        <f t="shared" si="5"/>
        <v>7.8447051098101239E-2</v>
      </c>
      <c r="U6" s="9">
        <f t="shared" si="5"/>
        <v>7.8537540797719796E-2</v>
      </c>
      <c r="V6" s="9">
        <f t="shared" si="5"/>
        <v>7.8628275899076616E-2</v>
      </c>
      <c r="W6" s="9">
        <f t="shared" si="5"/>
        <v>7.871924178156231E-2</v>
      </c>
      <c r="X6" s="9">
        <f t="shared" si="5"/>
        <v>7.881042367076585E-2</v>
      </c>
    </row>
    <row r="7" spans="1:24" s="7" customFormat="1" x14ac:dyDescent="0.2">
      <c r="A7" s="4"/>
      <c r="B7" s="5"/>
      <c r="G7" s="8"/>
      <c r="H7" s="8"/>
      <c r="I7" s="8"/>
      <c r="J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</row>
    <row r="8" spans="1:24" x14ac:dyDescent="0.2">
      <c r="A8" s="4"/>
      <c r="B8" s="5" t="s">
        <v>44</v>
      </c>
      <c r="C8" s="5">
        <v>4633</v>
      </c>
      <c r="G8" s="5">
        <v>4668</v>
      </c>
      <c r="L8" s="5">
        <v>18716</v>
      </c>
      <c r="M8" s="5">
        <v>19377</v>
      </c>
      <c r="N8" s="5">
        <v>20508</v>
      </c>
    </row>
    <row r="9" spans="1:24" x14ac:dyDescent="0.2">
      <c r="A9" s="4"/>
      <c r="B9" s="5" t="s">
        <v>45</v>
      </c>
      <c r="C9" s="5">
        <f>1159+894</f>
        <v>2053</v>
      </c>
      <c r="G9" s="5">
        <f>1084+915</f>
        <v>1999</v>
      </c>
      <c r="L9" s="5">
        <f>L22-L8</f>
        <v>8266</v>
      </c>
      <c r="M9" s="5">
        <f t="shared" ref="M9:N9" si="6">M22-M8</f>
        <v>7557</v>
      </c>
      <c r="N9" s="5">
        <f t="shared" si="6"/>
        <v>8101</v>
      </c>
    </row>
    <row r="10" spans="1:24" x14ac:dyDescent="0.2">
      <c r="A10" s="4"/>
      <c r="B10" s="5" t="s">
        <v>59</v>
      </c>
      <c r="L10" s="9">
        <f>L8/L22</f>
        <v>0.69364761692980503</v>
      </c>
      <c r="M10" s="9">
        <f>M8/M22</f>
        <v>0.71942526175094679</v>
      </c>
      <c r="N10" s="9">
        <f>N8/N22</f>
        <v>0.71683735887308186</v>
      </c>
    </row>
    <row r="11" spans="1:24" x14ac:dyDescent="0.2">
      <c r="A11" s="4"/>
      <c r="B11" s="5" t="s">
        <v>60</v>
      </c>
      <c r="L11" s="9">
        <f>L9/L22</f>
        <v>0.30635238307019497</v>
      </c>
      <c r="M11" s="9">
        <f t="shared" ref="M11:N11" si="7">M9/M22</f>
        <v>0.28057473824905327</v>
      </c>
      <c r="N11" s="9">
        <f t="shared" si="7"/>
        <v>0.28316264112691808</v>
      </c>
    </row>
    <row r="12" spans="1:24" x14ac:dyDescent="0.2">
      <c r="A12" s="4"/>
      <c r="L12" s="9"/>
      <c r="M12" s="9"/>
      <c r="N12" s="9"/>
    </row>
    <row r="13" spans="1:24" x14ac:dyDescent="0.2">
      <c r="A13" s="4"/>
      <c r="B13" s="10" t="s">
        <v>100</v>
      </c>
    </row>
    <row r="14" spans="1:24" x14ac:dyDescent="0.2">
      <c r="A14" s="4"/>
      <c r="B14" s="10" t="s">
        <v>56</v>
      </c>
      <c r="C14" s="9"/>
      <c r="G14" s="9"/>
      <c r="P14" s="9"/>
    </row>
    <row r="15" spans="1:24" s="7" customFormat="1" x14ac:dyDescent="0.2">
      <c r="A15" s="4"/>
      <c r="B15" s="7" t="s">
        <v>38</v>
      </c>
      <c r="C15" s="7">
        <v>2946</v>
      </c>
      <c r="G15" s="7">
        <v>3150</v>
      </c>
      <c r="L15" s="7">
        <v>10390</v>
      </c>
      <c r="M15" s="7">
        <v>11850</v>
      </c>
      <c r="N15" s="7">
        <v>13423</v>
      </c>
      <c r="O15" s="7">
        <f>N15*1.04</f>
        <v>13959.92</v>
      </c>
      <c r="P15" s="7">
        <v>14000</v>
      </c>
      <c r="Q15" s="7">
        <v>14000</v>
      </c>
      <c r="R15" s="7">
        <v>14000</v>
      </c>
      <c r="S15" s="7">
        <v>14000</v>
      </c>
      <c r="T15" s="7">
        <v>14000</v>
      </c>
      <c r="U15" s="7">
        <v>14000</v>
      </c>
      <c r="V15" s="7">
        <v>14000</v>
      </c>
      <c r="W15" s="7">
        <v>14000</v>
      </c>
      <c r="X15" s="7">
        <v>14000</v>
      </c>
    </row>
    <row r="16" spans="1:24" x14ac:dyDescent="0.2">
      <c r="A16" s="4"/>
      <c r="B16" s="5" t="s">
        <v>39</v>
      </c>
      <c r="C16" s="5">
        <f>4342-C15</f>
        <v>1396</v>
      </c>
      <c r="G16" s="5">
        <f>4587-G15</f>
        <v>1437</v>
      </c>
      <c r="L16" s="5">
        <f>17194-L15</f>
        <v>6804</v>
      </c>
      <c r="M16" s="5">
        <f>18175-M15</f>
        <v>6325</v>
      </c>
      <c r="N16" s="5">
        <f>19612-N15</f>
        <v>6189</v>
      </c>
      <c r="O16" s="5">
        <f>N16*1.04</f>
        <v>6436.56</v>
      </c>
      <c r="P16" s="5">
        <f t="shared" ref="P16:X16" si="8">O16*1.04</f>
        <v>6694.0224000000007</v>
      </c>
      <c r="Q16" s="5">
        <f t="shared" si="8"/>
        <v>6961.7832960000014</v>
      </c>
      <c r="R16" s="5">
        <f t="shared" si="8"/>
        <v>7240.2546278400014</v>
      </c>
      <c r="S16" s="5">
        <f t="shared" si="8"/>
        <v>7529.8648129536014</v>
      </c>
      <c r="T16" s="5">
        <f t="shared" si="8"/>
        <v>7831.0594054717458</v>
      </c>
      <c r="U16" s="5">
        <f t="shared" si="8"/>
        <v>8144.3017816906158</v>
      </c>
      <c r="V16" s="5">
        <f t="shared" si="8"/>
        <v>8470.0738529582413</v>
      </c>
      <c r="W16" s="5">
        <f t="shared" si="8"/>
        <v>8808.8768070765709</v>
      </c>
      <c r="X16" s="5">
        <f t="shared" si="8"/>
        <v>9161.2318793596332</v>
      </c>
    </row>
    <row r="17" spans="1:24" x14ac:dyDescent="0.2">
      <c r="A17" s="4"/>
      <c r="B17" s="5" t="s">
        <v>40</v>
      </c>
      <c r="C17" s="5">
        <v>737</v>
      </c>
      <c r="G17" s="5">
        <v>758</v>
      </c>
      <c r="L17" s="5">
        <v>2798</v>
      </c>
      <c r="M17" s="5">
        <v>2784</v>
      </c>
      <c r="N17" s="5">
        <v>3021</v>
      </c>
      <c r="O17" s="5">
        <f>N17*1.03</f>
        <v>3111.63</v>
      </c>
      <c r="P17" s="5">
        <f t="shared" ref="P17:X17" si="9">O17*1.03</f>
        <v>3204.9789000000001</v>
      </c>
      <c r="Q17" s="5">
        <f t="shared" si="9"/>
        <v>3301.1282670000001</v>
      </c>
      <c r="R17" s="5">
        <f t="shared" si="9"/>
        <v>3400.16211501</v>
      </c>
      <c r="S17" s="5">
        <f t="shared" si="9"/>
        <v>3502.1669784603</v>
      </c>
      <c r="T17" s="5">
        <f t="shared" si="9"/>
        <v>3607.2319878141093</v>
      </c>
      <c r="U17" s="5">
        <f t="shared" si="9"/>
        <v>3715.4489474485326</v>
      </c>
      <c r="V17" s="5">
        <f t="shared" si="9"/>
        <v>3826.9124158719887</v>
      </c>
      <c r="W17" s="5">
        <f t="shared" si="9"/>
        <v>3941.7197883481485</v>
      </c>
      <c r="X17" s="5">
        <f t="shared" si="9"/>
        <v>4059.9713819985932</v>
      </c>
    </row>
    <row r="18" spans="1:24" x14ac:dyDescent="0.2">
      <c r="A18" s="4"/>
      <c r="B18" s="5" t="s">
        <v>48</v>
      </c>
      <c r="C18" s="5">
        <v>555</v>
      </c>
      <c r="D18" s="11"/>
      <c r="G18" s="5">
        <v>302</v>
      </c>
      <c r="L18" s="5">
        <v>3905</v>
      </c>
      <c r="M18" s="5">
        <v>2184</v>
      </c>
      <c r="N18" s="5">
        <v>1799</v>
      </c>
      <c r="O18" s="5">
        <f>N18-400</f>
        <v>1399</v>
      </c>
      <c r="P18" s="5">
        <f>O18*0.5</f>
        <v>699.5</v>
      </c>
      <c r="Q18" s="5">
        <f>P18*0.5</f>
        <v>349.75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</row>
    <row r="19" spans="1:24" x14ac:dyDescent="0.2">
      <c r="A19" s="4"/>
      <c r="B19" s="5" t="s">
        <v>41</v>
      </c>
      <c r="C19" s="5">
        <v>480</v>
      </c>
      <c r="G19" s="5">
        <v>464</v>
      </c>
      <c r="L19" s="5">
        <v>1459</v>
      </c>
      <c r="M19" s="5">
        <v>1869</v>
      </c>
      <c r="N19" s="5">
        <v>1973</v>
      </c>
      <c r="O19" s="5">
        <f>N19*1.07</f>
        <v>2111.11</v>
      </c>
      <c r="P19" s="5">
        <f t="shared" ref="P19:X19" si="10">O19*1.07</f>
        <v>2258.8877000000002</v>
      </c>
      <c r="Q19" s="5">
        <f t="shared" si="10"/>
        <v>2417.0098390000003</v>
      </c>
      <c r="R19" s="5">
        <f t="shared" si="10"/>
        <v>2586.2005277300004</v>
      </c>
      <c r="S19" s="5">
        <f t="shared" si="10"/>
        <v>2767.2345646711005</v>
      </c>
      <c r="T19" s="5">
        <f t="shared" si="10"/>
        <v>2960.9409841980778</v>
      </c>
      <c r="U19" s="5">
        <f t="shared" si="10"/>
        <v>3168.2068530919432</v>
      </c>
      <c r="V19" s="5">
        <f t="shared" si="10"/>
        <v>3389.9813328083796</v>
      </c>
      <c r="W19" s="5">
        <f t="shared" si="10"/>
        <v>3627.2800261049665</v>
      </c>
      <c r="X19" s="5">
        <f t="shared" si="10"/>
        <v>3881.1896279323146</v>
      </c>
    </row>
    <row r="20" spans="1:24" x14ac:dyDescent="0.2">
      <c r="A20" s="4"/>
      <c r="B20" s="5" t="s">
        <v>42</v>
      </c>
      <c r="C20" s="5">
        <v>309</v>
      </c>
      <c r="G20" s="5">
        <v>293</v>
      </c>
      <c r="L20" s="5">
        <v>680</v>
      </c>
      <c r="M20" s="5">
        <v>1063</v>
      </c>
      <c r="N20" s="5">
        <v>1315</v>
      </c>
      <c r="O20" s="5">
        <f>N20*1.09</f>
        <v>1433.3500000000001</v>
      </c>
      <c r="P20" s="5">
        <f t="shared" ref="P20:X20" si="11">O20*1.09</f>
        <v>1562.3515000000002</v>
      </c>
      <c r="Q20" s="5">
        <f t="shared" si="11"/>
        <v>1702.9631350000004</v>
      </c>
      <c r="R20" s="5">
        <f t="shared" si="11"/>
        <v>1856.2298171500006</v>
      </c>
      <c r="S20" s="5">
        <f t="shared" si="11"/>
        <v>2023.2905006935007</v>
      </c>
      <c r="T20" s="5">
        <f t="shared" si="11"/>
        <v>2205.3866457559161</v>
      </c>
      <c r="U20" s="5">
        <f t="shared" si="11"/>
        <v>2403.8714438739489</v>
      </c>
      <c r="V20" s="5">
        <f t="shared" si="11"/>
        <v>2620.2198738226043</v>
      </c>
      <c r="W20" s="5">
        <f t="shared" si="11"/>
        <v>2856.0396624666391</v>
      </c>
      <c r="X20" s="5">
        <f t="shared" si="11"/>
        <v>3113.083232088637</v>
      </c>
    </row>
    <row r="21" spans="1:24" x14ac:dyDescent="0.2">
      <c r="A21" s="4"/>
      <c r="B21" s="5" t="s">
        <v>43</v>
      </c>
      <c r="C21" s="5">
        <v>224</v>
      </c>
      <c r="G21" s="5">
        <v>209</v>
      </c>
      <c r="L21" s="5">
        <v>946</v>
      </c>
      <c r="M21" s="5">
        <v>859</v>
      </c>
      <c r="N21" s="5">
        <v>889</v>
      </c>
      <c r="O21" s="5">
        <v>900</v>
      </c>
      <c r="P21" s="5">
        <v>900</v>
      </c>
      <c r="Q21" s="5">
        <v>900</v>
      </c>
      <c r="R21" s="5">
        <v>900</v>
      </c>
      <c r="S21" s="5">
        <v>900</v>
      </c>
      <c r="T21" s="5">
        <v>900</v>
      </c>
      <c r="U21" s="5">
        <v>900</v>
      </c>
      <c r="V21" s="5">
        <v>900</v>
      </c>
      <c r="W21" s="5">
        <v>900</v>
      </c>
      <c r="X21" s="5">
        <v>900</v>
      </c>
    </row>
    <row r="22" spans="1:24" s="7" customFormat="1" x14ac:dyDescent="0.2">
      <c r="A22" s="5"/>
      <c r="B22" s="5" t="s">
        <v>16</v>
      </c>
      <c r="C22" s="7">
        <f>SUM(C15:C21)</f>
        <v>6647</v>
      </c>
      <c r="G22" s="7">
        <f>SUM(G15:G21)</f>
        <v>6613</v>
      </c>
      <c r="L22" s="7">
        <f>SUM(L15:L21)</f>
        <v>26982</v>
      </c>
      <c r="M22" s="7">
        <f>SUM(M15:M21)</f>
        <v>26934</v>
      </c>
      <c r="N22" s="7">
        <f>SUM(N15:N21)</f>
        <v>28609</v>
      </c>
      <c r="O22" s="7">
        <v>28400</v>
      </c>
      <c r="P22" s="7">
        <f t="shared" ref="P22:X22" si="12">SUM(P15:P21)</f>
        <v>29319.740500000004</v>
      </c>
      <c r="Q22" s="7">
        <f t="shared" si="12"/>
        <v>29632.634537000002</v>
      </c>
      <c r="R22" s="7">
        <f t="shared" si="12"/>
        <v>29982.847087730002</v>
      </c>
      <c r="S22" s="7">
        <f t="shared" si="12"/>
        <v>30722.556856778501</v>
      </c>
      <c r="T22" s="7">
        <f t="shared" si="12"/>
        <v>31504.619023239848</v>
      </c>
      <c r="U22" s="7">
        <f t="shared" si="12"/>
        <v>32331.829026105035</v>
      </c>
      <c r="V22" s="7">
        <f t="shared" si="12"/>
        <v>33207.187475461214</v>
      </c>
      <c r="W22" s="7">
        <f t="shared" si="12"/>
        <v>34133.916283996325</v>
      </c>
      <c r="X22" s="7">
        <f t="shared" si="12"/>
        <v>35115.476121379179</v>
      </c>
    </row>
    <row r="23" spans="1:24" x14ac:dyDescent="0.2">
      <c r="B23" s="5" t="s">
        <v>17</v>
      </c>
      <c r="C23" s="5">
        <v>39</v>
      </c>
      <c r="G23" s="5">
        <v>54</v>
      </c>
      <c r="L23" s="5">
        <v>299</v>
      </c>
      <c r="M23" s="5">
        <v>182</v>
      </c>
      <c r="N23" s="5">
        <v>144</v>
      </c>
      <c r="O23" s="5">
        <f>N23*1.07</f>
        <v>154.08000000000001</v>
      </c>
      <c r="P23" s="5">
        <f t="shared" ref="P23:S23" si="13">O23*1.07</f>
        <v>164.86560000000003</v>
      </c>
      <c r="Q23" s="5">
        <f t="shared" si="13"/>
        <v>176.40619200000003</v>
      </c>
      <c r="R23" s="5">
        <f t="shared" si="13"/>
        <v>188.75462544000004</v>
      </c>
      <c r="S23" s="5">
        <f t="shared" si="13"/>
        <v>201.96744922080006</v>
      </c>
      <c r="T23" s="5">
        <f t="shared" ref="T23:X23" si="14">S23*1.07</f>
        <v>216.10517066625607</v>
      </c>
      <c r="U23" s="5">
        <f t="shared" si="14"/>
        <v>231.232532612894</v>
      </c>
      <c r="V23" s="5">
        <f t="shared" si="14"/>
        <v>247.41880989579661</v>
      </c>
      <c r="W23" s="5">
        <f t="shared" si="14"/>
        <v>264.73812658850238</v>
      </c>
      <c r="X23" s="5">
        <f t="shared" si="14"/>
        <v>283.26979544969754</v>
      </c>
    </row>
    <row r="24" spans="1:24" s="7" customFormat="1" x14ac:dyDescent="0.2">
      <c r="B24" s="7" t="s">
        <v>8</v>
      </c>
      <c r="C24" s="7">
        <f>SUM(C22:C23)</f>
        <v>6686</v>
      </c>
      <c r="D24" s="7">
        <f t="shared" ref="D24:L24" si="15">SUM(D22:D23)</f>
        <v>0</v>
      </c>
      <c r="E24" s="7">
        <f t="shared" si="15"/>
        <v>0</v>
      </c>
      <c r="F24" s="7">
        <f t="shared" si="15"/>
        <v>0</v>
      </c>
      <c r="G24" s="7">
        <f t="shared" si="15"/>
        <v>6667</v>
      </c>
      <c r="H24" s="7">
        <f t="shared" si="15"/>
        <v>0</v>
      </c>
      <c r="I24" s="7">
        <f t="shared" si="15"/>
        <v>0</v>
      </c>
      <c r="J24" s="7">
        <f t="shared" si="15"/>
        <v>0</v>
      </c>
      <c r="L24" s="7">
        <f t="shared" si="15"/>
        <v>27281</v>
      </c>
      <c r="M24" s="7">
        <f t="shared" ref="M24" si="16">SUM(M22:M23)</f>
        <v>27116</v>
      </c>
      <c r="N24" s="7">
        <f t="shared" ref="N24" si="17">SUM(N22:N23)</f>
        <v>28753</v>
      </c>
      <c r="O24" s="7">
        <f t="shared" ref="O24" si="18">SUM(O22:O23)</f>
        <v>28554.080000000002</v>
      </c>
      <c r="P24" s="7">
        <f t="shared" ref="P24" si="19">SUM(P22:P23)</f>
        <v>29484.606100000005</v>
      </c>
      <c r="Q24" s="7">
        <f t="shared" ref="Q24" si="20">SUM(Q22:Q23)</f>
        <v>29809.040729</v>
      </c>
      <c r="R24" s="7">
        <f t="shared" ref="R24" si="21">SUM(R22:R23)</f>
        <v>30171.601713170003</v>
      </c>
      <c r="S24" s="7">
        <f t="shared" ref="S24" si="22">SUM(S22:S23)</f>
        <v>30924.524305999301</v>
      </c>
      <c r="T24" s="7">
        <f t="shared" ref="T24" si="23">SUM(T22:T23)</f>
        <v>31720.724193906102</v>
      </c>
      <c r="U24" s="7">
        <f t="shared" ref="U24" si="24">SUM(U22:U23)</f>
        <v>32563.061558717931</v>
      </c>
      <c r="V24" s="7">
        <f t="shared" ref="V24" si="25">SUM(V22:V23)</f>
        <v>33454.606285357011</v>
      </c>
      <c r="W24" s="7">
        <f t="shared" ref="W24" si="26">SUM(W22:W23)</f>
        <v>34398.65441058483</v>
      </c>
      <c r="X24" s="7">
        <f t="shared" ref="X24" si="27">SUM(X22:X23)</f>
        <v>35398.745916828877</v>
      </c>
    </row>
    <row r="25" spans="1:24" x14ac:dyDescent="0.2">
      <c r="B25" s="5" t="s">
        <v>18</v>
      </c>
      <c r="C25" s="5">
        <v>1552</v>
      </c>
      <c r="G25" s="5">
        <v>1540</v>
      </c>
      <c r="L25" s="5">
        <v>5657</v>
      </c>
      <c r="M25" s="5">
        <v>6498</v>
      </c>
      <c r="N25" s="5">
        <v>6251</v>
      </c>
      <c r="O25" s="5">
        <f t="shared" ref="O25:X25" si="28">O24*(1-O43)</f>
        <v>6281.8975999999993</v>
      </c>
      <c r="P25" s="5">
        <f t="shared" si="28"/>
        <v>6486.6133420000006</v>
      </c>
      <c r="Q25" s="5">
        <f t="shared" si="28"/>
        <v>6557.9889603799993</v>
      </c>
      <c r="R25" s="5">
        <f t="shared" si="28"/>
        <v>6637.7523768973997</v>
      </c>
      <c r="S25" s="5">
        <f t="shared" si="28"/>
        <v>6803.3953473198453</v>
      </c>
      <c r="T25" s="5">
        <f t="shared" si="28"/>
        <v>6978.5593226593419</v>
      </c>
      <c r="U25" s="5">
        <f t="shared" si="28"/>
        <v>7163.8735429179442</v>
      </c>
      <c r="V25" s="5">
        <f t="shared" si="28"/>
        <v>7360.0133827785412</v>
      </c>
      <c r="W25" s="5">
        <f t="shared" si="28"/>
        <v>7567.7039703286619</v>
      </c>
      <c r="X25" s="5">
        <f t="shared" si="28"/>
        <v>7787.7241017023516</v>
      </c>
    </row>
    <row r="26" spans="1:24" x14ac:dyDescent="0.2">
      <c r="B26" s="5" t="s">
        <v>19</v>
      </c>
      <c r="C26" s="5">
        <f>C24-C25</f>
        <v>5134</v>
      </c>
      <c r="D26" s="5">
        <f t="shared" ref="D26:L26" si="29">D24-D25</f>
        <v>0</v>
      </c>
      <c r="E26" s="5">
        <f t="shared" si="29"/>
        <v>0</v>
      </c>
      <c r="F26" s="5">
        <f t="shared" si="29"/>
        <v>0</v>
      </c>
      <c r="G26" s="5">
        <f t="shared" si="29"/>
        <v>5127</v>
      </c>
      <c r="H26" s="5">
        <f t="shared" si="29"/>
        <v>0</v>
      </c>
      <c r="I26" s="5">
        <f t="shared" si="29"/>
        <v>0</v>
      </c>
      <c r="J26" s="5">
        <f t="shared" si="29"/>
        <v>0</v>
      </c>
      <c r="L26" s="5">
        <f t="shared" si="29"/>
        <v>21624</v>
      </c>
      <c r="M26" s="5">
        <f t="shared" ref="M26" si="30">M24-M25</f>
        <v>20618</v>
      </c>
      <c r="N26" s="5">
        <f t="shared" ref="N26" si="31">N24-N25</f>
        <v>22502</v>
      </c>
      <c r="O26" s="5">
        <f t="shared" ref="O26:X26" si="32">O24-O25</f>
        <v>22272.182400000002</v>
      </c>
      <c r="P26" s="5">
        <f t="shared" si="32"/>
        <v>22997.992758000004</v>
      </c>
      <c r="Q26" s="5">
        <f t="shared" si="32"/>
        <v>23251.05176862</v>
      </c>
      <c r="R26" s="5">
        <f t="shared" si="32"/>
        <v>23533.849336272604</v>
      </c>
      <c r="S26" s="5">
        <f t="shared" si="32"/>
        <v>24121.128958679456</v>
      </c>
      <c r="T26" s="5">
        <f t="shared" si="32"/>
        <v>24742.164871246761</v>
      </c>
      <c r="U26" s="5">
        <f t="shared" si="32"/>
        <v>25399.188015799988</v>
      </c>
      <c r="V26" s="5">
        <f t="shared" si="32"/>
        <v>26094.592902578472</v>
      </c>
      <c r="W26" s="5">
        <f t="shared" si="32"/>
        <v>26830.950440256169</v>
      </c>
      <c r="X26" s="5">
        <f t="shared" si="32"/>
        <v>27611.021815126525</v>
      </c>
    </row>
    <row r="27" spans="1:24" x14ac:dyDescent="0.2">
      <c r="B27" s="5" t="s">
        <v>20</v>
      </c>
      <c r="C27" s="5">
        <v>4131</v>
      </c>
      <c r="G27" s="5">
        <v>1379</v>
      </c>
      <c r="L27" s="5">
        <v>4977</v>
      </c>
      <c r="M27" s="5">
        <v>5718</v>
      </c>
      <c r="N27" s="5">
        <v>5907</v>
      </c>
    </row>
    <row r="28" spans="1:24" x14ac:dyDescent="0.2">
      <c r="B28" s="5" t="s">
        <v>21</v>
      </c>
      <c r="C28" s="5">
        <v>2430</v>
      </c>
      <c r="G28" s="5">
        <v>253</v>
      </c>
      <c r="L28" s="5">
        <v>944</v>
      </c>
      <c r="M28" s="5">
        <v>1155</v>
      </c>
      <c r="N28" s="5">
        <v>4663</v>
      </c>
    </row>
    <row r="29" spans="1:24" x14ac:dyDescent="0.2">
      <c r="B29" s="5" t="s">
        <v>22</v>
      </c>
      <c r="C29" s="5">
        <v>1375</v>
      </c>
      <c r="G29" s="5">
        <v>1258</v>
      </c>
      <c r="L29" s="5">
        <v>5673</v>
      </c>
      <c r="M29" s="5">
        <v>6090</v>
      </c>
      <c r="N29" s="5">
        <v>6091</v>
      </c>
    </row>
    <row r="30" spans="1:24" x14ac:dyDescent="0.2">
      <c r="B30" s="5" t="s">
        <v>23</v>
      </c>
      <c r="C30" s="5">
        <f>SUM(C27:C29)</f>
        <v>7936</v>
      </c>
      <c r="D30" s="5">
        <f t="shared" ref="D30:L30" si="33">SUM(D27:D29)</f>
        <v>0</v>
      </c>
      <c r="E30" s="5">
        <f t="shared" si="33"/>
        <v>0</v>
      </c>
      <c r="F30" s="5">
        <f t="shared" si="33"/>
        <v>0</v>
      </c>
      <c r="G30" s="5">
        <f t="shared" si="33"/>
        <v>2890</v>
      </c>
      <c r="H30" s="5">
        <f t="shared" si="33"/>
        <v>0</v>
      </c>
      <c r="I30" s="5">
        <f t="shared" si="33"/>
        <v>0</v>
      </c>
      <c r="J30" s="5">
        <f t="shared" si="33"/>
        <v>0</v>
      </c>
      <c r="L30" s="5">
        <f t="shared" si="33"/>
        <v>11594</v>
      </c>
      <c r="M30" s="5">
        <f t="shared" ref="M30" si="34">SUM(M27:M29)</f>
        <v>12963</v>
      </c>
      <c r="N30" s="5">
        <f t="shared" ref="N30" si="35">SUM(N27:N29)</f>
        <v>16661</v>
      </c>
      <c r="O30" s="5">
        <f t="shared" ref="O30:X30" si="36">O24*O45</f>
        <v>15552.991175432127</v>
      </c>
      <c r="P30" s="5">
        <f t="shared" si="36"/>
        <v>15096.245068141883</v>
      </c>
      <c r="Q30" s="5">
        <f t="shared" si="36"/>
        <v>14346.615573261271</v>
      </c>
      <c r="R30" s="5">
        <f t="shared" si="36"/>
        <v>13649.843765420188</v>
      </c>
      <c r="S30" s="5">
        <f t="shared" si="36"/>
        <v>13916.035937699686</v>
      </c>
      <c r="T30" s="5">
        <f t="shared" si="36"/>
        <v>14274.325887257746</v>
      </c>
      <c r="U30" s="5">
        <f t="shared" si="36"/>
        <v>14653.377701423069</v>
      </c>
      <c r="V30" s="5">
        <f t="shared" si="36"/>
        <v>15054.572828410655</v>
      </c>
      <c r="W30" s="5">
        <f t="shared" si="36"/>
        <v>15479.394484763174</v>
      </c>
      <c r="X30" s="5">
        <f t="shared" si="36"/>
        <v>15929.435662572994</v>
      </c>
    </row>
    <row r="31" spans="1:24" x14ac:dyDescent="0.2">
      <c r="B31" s="5" t="s">
        <v>24</v>
      </c>
      <c r="C31" s="5">
        <f>C26-C30</f>
        <v>-2802</v>
      </c>
      <c r="D31" s="5">
        <f t="shared" ref="D31:L31" si="37">D26-D30</f>
        <v>0</v>
      </c>
      <c r="E31" s="5">
        <f t="shared" si="37"/>
        <v>0</v>
      </c>
      <c r="F31" s="5">
        <f t="shared" si="37"/>
        <v>0</v>
      </c>
      <c r="G31" s="5">
        <f t="shared" si="37"/>
        <v>2237</v>
      </c>
      <c r="H31" s="5">
        <f t="shared" si="37"/>
        <v>0</v>
      </c>
      <c r="I31" s="5">
        <f t="shared" si="37"/>
        <v>0</v>
      </c>
      <c r="J31" s="5">
        <f t="shared" si="37"/>
        <v>0</v>
      </c>
      <c r="L31" s="5">
        <f t="shared" si="37"/>
        <v>10030</v>
      </c>
      <c r="M31" s="5">
        <f t="shared" ref="M31" si="38">M26-M30</f>
        <v>7655</v>
      </c>
      <c r="N31" s="5">
        <f t="shared" ref="N31" si="39">N26-N30</f>
        <v>5841</v>
      </c>
      <c r="O31" s="5">
        <f t="shared" ref="O31" si="40">O26-O30</f>
        <v>6719.1912245678741</v>
      </c>
      <c r="P31" s="5">
        <f t="shared" ref="P31" si="41">P26-P30</f>
        <v>7901.7476898581208</v>
      </c>
      <c r="Q31" s="5">
        <f t="shared" ref="Q31" si="42">Q26-Q30</f>
        <v>8904.4361953587286</v>
      </c>
      <c r="R31" s="5">
        <f t="shared" ref="R31" si="43">R26-R30</f>
        <v>9884.005570852416</v>
      </c>
      <c r="S31" s="5">
        <f t="shared" ref="S31" si="44">S26-S30</f>
        <v>10205.09302097977</v>
      </c>
      <c r="T31" s="5">
        <f t="shared" ref="T31" si="45">T26-T30</f>
        <v>10467.838983989015</v>
      </c>
      <c r="U31" s="5">
        <f t="shared" ref="U31" si="46">U26-U30</f>
        <v>10745.810314376919</v>
      </c>
      <c r="V31" s="5">
        <f t="shared" ref="V31" si="47">V26-V30</f>
        <v>11040.020074167816</v>
      </c>
      <c r="W31" s="5">
        <f t="shared" ref="W31" si="48">W26-W30</f>
        <v>11351.555955492995</v>
      </c>
      <c r="X31" s="5">
        <f t="shared" ref="X31" si="49">X26-X30</f>
        <v>11681.586152553531</v>
      </c>
    </row>
    <row r="32" spans="1:24" x14ac:dyDescent="0.2">
      <c r="B32" s="5" t="s">
        <v>25</v>
      </c>
      <c r="C32" s="5">
        <v>-254</v>
      </c>
      <c r="G32" s="5">
        <v>-260</v>
      </c>
      <c r="L32" s="5">
        <v>-935</v>
      </c>
      <c r="M32" s="5">
        <v>-944</v>
      </c>
      <c r="N32" s="5">
        <v>-977</v>
      </c>
      <c r="O32" s="5">
        <f t="shared" ref="O32:X32" si="50">N47*$AA$89</f>
        <v>-355.08</v>
      </c>
      <c r="P32" s="5">
        <f t="shared" si="50"/>
        <v>-232.88906448829678</v>
      </c>
      <c r="Q32" s="5">
        <f t="shared" si="50"/>
        <v>-100.98469613193582</v>
      </c>
      <c r="R32" s="5">
        <f t="shared" si="50"/>
        <v>50.434669654765003</v>
      </c>
      <c r="S32" s="5">
        <f t="shared" si="50"/>
        <v>211.37260155098136</v>
      </c>
      <c r="T32" s="5">
        <f t="shared" si="50"/>
        <v>380.11934463597953</v>
      </c>
      <c r="U32" s="5">
        <f t="shared" si="50"/>
        <v>551.51708622825447</v>
      </c>
      <c r="V32" s="5">
        <f t="shared" si="50"/>
        <v>730.01485915781609</v>
      </c>
      <c r="W32" s="5">
        <f t="shared" si="50"/>
        <v>915.9814111043612</v>
      </c>
      <c r="X32" s="5">
        <f t="shared" si="50"/>
        <v>1109.8085014965993</v>
      </c>
    </row>
    <row r="33" spans="1:24" x14ac:dyDescent="0.2">
      <c r="B33" s="5" t="s">
        <v>26</v>
      </c>
      <c r="C33" s="5">
        <f>C31+C32</f>
        <v>-3056</v>
      </c>
      <c r="D33" s="5">
        <f t="shared" ref="D33:L33" si="51">D31+D32</f>
        <v>0</v>
      </c>
      <c r="E33" s="5">
        <f t="shared" si="51"/>
        <v>0</v>
      </c>
      <c r="F33" s="5">
        <f t="shared" si="51"/>
        <v>0</v>
      </c>
      <c r="G33" s="5">
        <f t="shared" si="51"/>
        <v>1977</v>
      </c>
      <c r="H33" s="5">
        <f t="shared" si="51"/>
        <v>0</v>
      </c>
      <c r="I33" s="5">
        <f t="shared" si="51"/>
        <v>0</v>
      </c>
      <c r="J33" s="5">
        <f t="shared" si="51"/>
        <v>0</v>
      </c>
      <c r="L33" s="5">
        <f t="shared" si="51"/>
        <v>9095</v>
      </c>
      <c r="M33" s="5">
        <f t="shared" ref="M33" si="52">M31+M32</f>
        <v>6711</v>
      </c>
      <c r="N33" s="5">
        <f t="shared" ref="N33" si="53">N31+N32</f>
        <v>4864</v>
      </c>
      <c r="O33" s="5">
        <f t="shared" ref="O33" si="54">O31+O32</f>
        <v>6364.1112245678742</v>
      </c>
      <c r="P33" s="5">
        <f t="shared" ref="P33" si="55">P31+P32</f>
        <v>7668.858625369824</v>
      </c>
      <c r="Q33" s="5">
        <f t="shared" ref="Q33" si="56">Q31+Q32</f>
        <v>8803.4514992267923</v>
      </c>
      <c r="R33" s="5">
        <f t="shared" ref="R33" si="57">R31+R32</f>
        <v>9934.4402405071814</v>
      </c>
      <c r="S33" s="5">
        <f t="shared" ref="S33" si="58">S31+S32</f>
        <v>10416.465622530752</v>
      </c>
      <c r="T33" s="5">
        <f t="shared" ref="T33" si="59">T31+T32</f>
        <v>10847.958328624994</v>
      </c>
      <c r="U33" s="5">
        <f t="shared" ref="U33" si="60">U31+U32</f>
        <v>11297.327400605172</v>
      </c>
      <c r="V33" s="5">
        <f t="shared" ref="V33" si="61">V31+V32</f>
        <v>11770.034933325633</v>
      </c>
      <c r="W33" s="5">
        <f t="shared" ref="W33" si="62">W31+W32</f>
        <v>12267.537366597357</v>
      </c>
      <c r="X33" s="5">
        <f t="shared" ref="X33" si="63">X31+X32</f>
        <v>12791.394654050131</v>
      </c>
    </row>
    <row r="34" spans="1:24" x14ac:dyDescent="0.2">
      <c r="B34" s="5" t="s">
        <v>27</v>
      </c>
      <c r="C34" s="5">
        <v>-315</v>
      </c>
      <c r="G34" s="5">
        <v>334</v>
      </c>
      <c r="L34" s="5">
        <v>1248</v>
      </c>
      <c r="M34" s="5">
        <v>1247</v>
      </c>
      <c r="N34" s="5">
        <v>211</v>
      </c>
      <c r="O34" s="5">
        <f>O33*O41</f>
        <v>254.56444898271496</v>
      </c>
      <c r="P34" s="5">
        <f t="shared" ref="P34:S34" si="64">P33*P41</f>
        <v>1073.6402075517756</v>
      </c>
      <c r="Q34" s="5">
        <f t="shared" si="64"/>
        <v>1232.4832098917511</v>
      </c>
      <c r="R34" s="5">
        <f t="shared" si="64"/>
        <v>1887.5436456963646</v>
      </c>
      <c r="S34" s="5">
        <f t="shared" si="64"/>
        <v>1979.1284682808428</v>
      </c>
      <c r="T34" s="5">
        <f t="shared" ref="T34" si="65">T33*T41</f>
        <v>2278.0712490112487</v>
      </c>
      <c r="U34" s="5">
        <f t="shared" ref="U34" si="66">U33*U41</f>
        <v>2372.4387541270862</v>
      </c>
      <c r="V34" s="5">
        <f t="shared" ref="V34" si="67">V33*V41</f>
        <v>2471.7073359983829</v>
      </c>
      <c r="W34" s="5">
        <f t="shared" ref="W34" si="68">W33*W41</f>
        <v>2576.1828469854449</v>
      </c>
      <c r="X34" s="5">
        <f t="shared" ref="X34" si="69">X33*X41</f>
        <v>2686.1928773505274</v>
      </c>
    </row>
    <row r="35" spans="1:24" s="7" customFormat="1" x14ac:dyDescent="0.2">
      <c r="A35" s="5"/>
      <c r="B35" s="7" t="s">
        <v>28</v>
      </c>
      <c r="C35" s="7">
        <f>C33-C34</f>
        <v>-2741</v>
      </c>
      <c r="D35" s="7">
        <f t="shared" ref="D35:L35" si="70">D33-D34</f>
        <v>0</v>
      </c>
      <c r="E35" s="7">
        <f t="shared" si="70"/>
        <v>0</v>
      </c>
      <c r="F35" s="7">
        <f t="shared" si="70"/>
        <v>0</v>
      </c>
      <c r="G35" s="7">
        <f t="shared" si="70"/>
        <v>1643</v>
      </c>
      <c r="H35" s="7">
        <f t="shared" si="70"/>
        <v>0</v>
      </c>
      <c r="I35" s="7">
        <f t="shared" si="70"/>
        <v>0</v>
      </c>
      <c r="J35" s="7">
        <f t="shared" si="70"/>
        <v>0</v>
      </c>
      <c r="L35" s="7">
        <f t="shared" si="70"/>
        <v>7847</v>
      </c>
      <c r="M35" s="7">
        <f t="shared" ref="M35" si="71">M33-M34</f>
        <v>5464</v>
      </c>
      <c r="N35" s="7">
        <f t="shared" ref="N35" si="72">N33-N34</f>
        <v>4653</v>
      </c>
      <c r="O35" s="7">
        <f t="shared" ref="O35" si="73">O33-O34</f>
        <v>6109.5467755851596</v>
      </c>
      <c r="P35" s="7">
        <f t="shared" ref="P35" si="74">P33-P34</f>
        <v>6595.2184178180487</v>
      </c>
      <c r="Q35" s="7">
        <f t="shared" ref="Q35" si="75">Q33-Q34</f>
        <v>7570.9682893350409</v>
      </c>
      <c r="R35" s="7">
        <f t="shared" ref="R35" si="76">R33-R34</f>
        <v>8046.8965948108171</v>
      </c>
      <c r="S35" s="7">
        <f t="shared" ref="S35" si="77">S33-S34</f>
        <v>8437.3371542499081</v>
      </c>
      <c r="T35" s="7">
        <f t="shared" ref="T35" si="78">T33-T34</f>
        <v>8569.8870796137453</v>
      </c>
      <c r="U35" s="7">
        <f t="shared" ref="U35" si="79">U33-U34</f>
        <v>8924.8886464780862</v>
      </c>
      <c r="V35" s="7">
        <f t="shared" ref="V35" si="80">V33-V34</f>
        <v>9298.3275973272503</v>
      </c>
      <c r="W35" s="7">
        <f t="shared" ref="W35" si="81">W33-W34</f>
        <v>9691.3545196119121</v>
      </c>
      <c r="X35" s="7">
        <f t="shared" ref="X35" si="82">X33-X34</f>
        <v>10105.201776699603</v>
      </c>
    </row>
    <row r="36" spans="1:24" x14ac:dyDescent="0.2">
      <c r="B36" s="5" t="s">
        <v>29</v>
      </c>
      <c r="C36" s="11">
        <f>C35/C37</f>
        <v>-2.1980753809141942</v>
      </c>
      <c r="D36" s="11" t="e">
        <f t="shared" ref="D36:L36" si="83">D35/D37</f>
        <v>#DIV/0!</v>
      </c>
      <c r="E36" s="11" t="e">
        <f t="shared" si="83"/>
        <v>#DIV/0!</v>
      </c>
      <c r="F36" s="11" t="e">
        <f t="shared" si="83"/>
        <v>#DIV/0!</v>
      </c>
      <c r="G36" s="11">
        <f t="shared" si="83"/>
        <v>1.3050039714058776</v>
      </c>
      <c r="H36" s="11" t="e">
        <f t="shared" si="83"/>
        <v>#DIV/0!</v>
      </c>
      <c r="I36" s="11" t="e">
        <f t="shared" si="83"/>
        <v>#DIV/0!</v>
      </c>
      <c r="J36" s="11" t="e">
        <f t="shared" si="83"/>
        <v>#DIV/0!</v>
      </c>
      <c r="L36" s="11">
        <f t="shared" si="83"/>
        <v>6.2179080824088748</v>
      </c>
      <c r="M36" s="11">
        <f t="shared" ref="M36" si="84">M35/M37</f>
        <v>4.3434022257551668</v>
      </c>
      <c r="N36" s="11">
        <f t="shared" ref="N36" si="85">N35/N37</f>
        <v>3.7075697211155378</v>
      </c>
      <c r="O36" s="11">
        <f t="shared" ref="O36" si="86">O35/O37</f>
        <v>4.8681647614224381</v>
      </c>
      <c r="P36" s="11">
        <f t="shared" ref="P36" si="87">P35/P37</f>
        <v>5.2551541177833059</v>
      </c>
      <c r="Q36" s="11">
        <f t="shared" ref="Q36" si="88">Q35/Q37</f>
        <v>6.0326440552470446</v>
      </c>
      <c r="R36" s="11">
        <f t="shared" ref="R36" si="89">R35/R37</f>
        <v>6.411869796662006</v>
      </c>
      <c r="S36" s="11">
        <f t="shared" ref="S36" si="90">S35/S37</f>
        <v>6.7229778121513215</v>
      </c>
      <c r="T36" s="11">
        <f t="shared" ref="T36" si="91">T35/T37</f>
        <v>6.8285952825607534</v>
      </c>
      <c r="U36" s="11">
        <f t="shared" ref="U36" si="92">U35/U37</f>
        <v>7.1114650569546507</v>
      </c>
      <c r="V36" s="11">
        <f t="shared" ref="V36" si="93">V35/V37</f>
        <v>7.4090259739659361</v>
      </c>
      <c r="W36" s="11">
        <f t="shared" ref="W36" si="94">W35/W37</f>
        <v>7.722194836344153</v>
      </c>
      <c r="X36" s="11">
        <f t="shared" ref="X36" si="95">X35/X37</f>
        <v>8.0519536069319546</v>
      </c>
    </row>
    <row r="37" spans="1:24" x14ac:dyDescent="0.2">
      <c r="B37" s="5" t="s">
        <v>1</v>
      </c>
      <c r="C37" s="5">
        <v>1247</v>
      </c>
      <c r="G37" s="5">
        <v>1259</v>
      </c>
      <c r="L37" s="5">
        <v>1262</v>
      </c>
      <c r="M37" s="5">
        <v>1258</v>
      </c>
      <c r="N37" s="5">
        <v>1255</v>
      </c>
      <c r="O37" s="5">
        <v>1255</v>
      </c>
      <c r="P37" s="5">
        <v>1255</v>
      </c>
      <c r="Q37" s="5">
        <v>1255</v>
      </c>
      <c r="R37" s="5">
        <v>1255</v>
      </c>
      <c r="S37" s="5">
        <v>1255</v>
      </c>
      <c r="T37" s="5">
        <v>1255</v>
      </c>
      <c r="U37" s="5">
        <v>1255</v>
      </c>
      <c r="V37" s="5">
        <v>1255</v>
      </c>
      <c r="W37" s="5">
        <v>1255</v>
      </c>
      <c r="X37" s="5">
        <v>1255</v>
      </c>
    </row>
    <row r="39" spans="1:24" s="7" customFormat="1" x14ac:dyDescent="0.2">
      <c r="A39" s="5"/>
      <c r="B39" s="7" t="s">
        <v>30</v>
      </c>
      <c r="G39" s="8">
        <f>G22/C22-1</f>
        <v>-5.1150895140664732E-3</v>
      </c>
      <c r="H39" s="8" t="e">
        <f t="shared" ref="H39:J39" si="96">H22/D22-1</f>
        <v>#DIV/0!</v>
      </c>
      <c r="I39" s="8" t="e">
        <f t="shared" si="96"/>
        <v>#DIV/0!</v>
      </c>
      <c r="J39" s="8" t="e">
        <f t="shared" si="96"/>
        <v>#DIV/0!</v>
      </c>
      <c r="L39" s="8" t="e">
        <f t="shared" ref="L39:X39" si="97">L24/K24-1</f>
        <v>#DIV/0!</v>
      </c>
      <c r="M39" s="8">
        <f t="shared" si="97"/>
        <v>-6.0481653898317722E-3</v>
      </c>
      <c r="N39" s="8">
        <f t="shared" si="97"/>
        <v>6.037026110045729E-2</v>
      </c>
      <c r="O39" s="8">
        <f t="shared" si="97"/>
        <v>-6.9182346189962107E-3</v>
      </c>
      <c r="P39" s="8">
        <f t="shared" si="97"/>
        <v>3.2588201055681054E-2</v>
      </c>
      <c r="Q39" s="8">
        <f t="shared" si="97"/>
        <v>1.100352597215104E-2</v>
      </c>
      <c r="R39" s="8">
        <f t="shared" si="97"/>
        <v>1.2162786030792461E-2</v>
      </c>
      <c r="S39" s="8">
        <f t="shared" si="97"/>
        <v>2.4954677580164564E-2</v>
      </c>
      <c r="T39" s="8">
        <f t="shared" si="97"/>
        <v>2.5746552478168372E-2</v>
      </c>
      <c r="U39" s="8">
        <f t="shared" si="97"/>
        <v>2.6554796153539506E-2</v>
      </c>
      <c r="V39" s="8">
        <f t="shared" si="97"/>
        <v>2.7379020398049514E-2</v>
      </c>
      <c r="W39" s="8">
        <f t="shared" si="97"/>
        <v>2.8218778519627286E-2</v>
      </c>
      <c r="X39" s="8">
        <f t="shared" si="97"/>
        <v>2.9073564747820635E-2</v>
      </c>
    </row>
    <row r="40" spans="1:24" s="7" customFormat="1" x14ac:dyDescent="0.2">
      <c r="A40" s="5"/>
      <c r="B40" s="5" t="s">
        <v>37</v>
      </c>
      <c r="D40" s="8">
        <f>D24/C24-1</f>
        <v>-1</v>
      </c>
      <c r="E40" s="8" t="e">
        <f t="shared" ref="E40:J40" si="98">E24/D24-1</f>
        <v>#DIV/0!</v>
      </c>
      <c r="F40" s="8" t="e">
        <f t="shared" si="98"/>
        <v>#DIV/0!</v>
      </c>
      <c r="G40" s="8" t="e">
        <f t="shared" si="98"/>
        <v>#DIV/0!</v>
      </c>
      <c r="H40" s="8">
        <f t="shared" si="98"/>
        <v>-1</v>
      </c>
      <c r="I40" s="8" t="e">
        <f t="shared" si="98"/>
        <v>#DIV/0!</v>
      </c>
      <c r="J40" s="8" t="e">
        <f t="shared" si="98"/>
        <v>#DIV/0!</v>
      </c>
      <c r="L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</row>
    <row r="41" spans="1:24" x14ac:dyDescent="0.2">
      <c r="B41" s="5" t="s">
        <v>31</v>
      </c>
      <c r="C41" s="9">
        <f>C34/C33</f>
        <v>0.10307591623036649</v>
      </c>
      <c r="D41" s="9" t="e">
        <f t="shared" ref="D41:J41" si="99">D34/D33</f>
        <v>#DIV/0!</v>
      </c>
      <c r="E41" s="9" t="e">
        <f t="shared" si="99"/>
        <v>#DIV/0!</v>
      </c>
      <c r="F41" s="9" t="e">
        <f t="shared" si="99"/>
        <v>#DIV/0!</v>
      </c>
      <c r="G41" s="9">
        <f t="shared" si="99"/>
        <v>0.16894284269094587</v>
      </c>
      <c r="H41" s="9" t="e">
        <f t="shared" si="99"/>
        <v>#DIV/0!</v>
      </c>
      <c r="I41" s="9" t="e">
        <f t="shared" si="99"/>
        <v>#DIV/0!</v>
      </c>
      <c r="J41" s="9" t="e">
        <f t="shared" si="99"/>
        <v>#DIV/0!</v>
      </c>
      <c r="L41" s="9">
        <f t="shared" ref="L41:N41" si="100">L34/L33</f>
        <v>0.137218251786696</v>
      </c>
      <c r="M41" s="9">
        <f t="shared" si="100"/>
        <v>0.18581433467441513</v>
      </c>
      <c r="N41" s="9">
        <f t="shared" si="100"/>
        <v>4.3379934210526314E-2</v>
      </c>
      <c r="O41" s="9">
        <v>0.04</v>
      </c>
      <c r="P41" s="9">
        <v>0.14000000000000001</v>
      </c>
      <c r="Q41" s="9">
        <v>0.14000000000000001</v>
      </c>
      <c r="R41" s="9">
        <v>0.19</v>
      </c>
      <c r="S41" s="9">
        <v>0.19</v>
      </c>
      <c r="T41" s="9">
        <v>0.21</v>
      </c>
      <c r="U41" s="9">
        <v>0.21</v>
      </c>
      <c r="V41" s="9">
        <v>0.21</v>
      </c>
      <c r="W41" s="9">
        <v>0.21</v>
      </c>
      <c r="X41" s="9">
        <v>0.21</v>
      </c>
    </row>
    <row r="43" spans="1:24" x14ac:dyDescent="0.2">
      <c r="B43" s="5" t="s">
        <v>32</v>
      </c>
      <c r="C43" s="9">
        <f>C26/C24</f>
        <v>0.76787316781334136</v>
      </c>
      <c r="D43" s="9" t="e">
        <f t="shared" ref="D43:J43" si="101">D26/D24</f>
        <v>#DIV/0!</v>
      </c>
      <c r="E43" s="9" t="e">
        <f t="shared" si="101"/>
        <v>#DIV/0!</v>
      </c>
      <c r="F43" s="9" t="e">
        <f t="shared" si="101"/>
        <v>#DIV/0!</v>
      </c>
      <c r="G43" s="9">
        <f t="shared" si="101"/>
        <v>0.76901154942252892</v>
      </c>
      <c r="H43" s="9" t="e">
        <f t="shared" si="101"/>
        <v>#DIV/0!</v>
      </c>
      <c r="I43" s="9" t="e">
        <f t="shared" si="101"/>
        <v>#DIV/0!</v>
      </c>
      <c r="J43" s="9" t="e">
        <f t="shared" si="101"/>
        <v>#DIV/0!</v>
      </c>
      <c r="L43" s="9">
        <f t="shared" ref="L43:N43" si="102">L26/L24</f>
        <v>0.79263956599831387</v>
      </c>
      <c r="M43" s="9">
        <f t="shared" si="102"/>
        <v>0.76036288538132468</v>
      </c>
      <c r="N43" s="9">
        <f t="shared" si="102"/>
        <v>0.78259659861579656</v>
      </c>
      <c r="O43" s="9">
        <v>0.78</v>
      </c>
      <c r="P43" s="9">
        <v>0.78</v>
      </c>
      <c r="Q43" s="9">
        <v>0.78</v>
      </c>
      <c r="R43" s="9">
        <v>0.78</v>
      </c>
      <c r="S43" s="9">
        <v>0.78</v>
      </c>
      <c r="T43" s="9">
        <v>0.78</v>
      </c>
      <c r="U43" s="9">
        <v>0.78</v>
      </c>
      <c r="V43" s="9">
        <v>0.78</v>
      </c>
      <c r="W43" s="9">
        <v>0.78</v>
      </c>
      <c r="X43" s="9">
        <v>0.78</v>
      </c>
    </row>
    <row r="44" spans="1:24" x14ac:dyDescent="0.2">
      <c r="B44" s="5" t="s">
        <v>33</v>
      </c>
      <c r="C44" s="9">
        <f>C31/C24</f>
        <v>-0.41908465450194438</v>
      </c>
      <c r="D44" s="9" t="e">
        <f t="shared" ref="D44:J44" si="103">D31/D24</f>
        <v>#DIV/0!</v>
      </c>
      <c r="E44" s="9" t="e">
        <f t="shared" si="103"/>
        <v>#DIV/0!</v>
      </c>
      <c r="F44" s="9" t="e">
        <f t="shared" si="103"/>
        <v>#DIV/0!</v>
      </c>
      <c r="G44" s="9">
        <f t="shared" si="103"/>
        <v>0.33553322333883306</v>
      </c>
      <c r="H44" s="9" t="e">
        <f t="shared" si="103"/>
        <v>#DIV/0!</v>
      </c>
      <c r="I44" s="9" t="e">
        <f t="shared" si="103"/>
        <v>#DIV/0!</v>
      </c>
      <c r="J44" s="9" t="e">
        <f t="shared" si="103"/>
        <v>#DIV/0!</v>
      </c>
      <c r="L44" s="9">
        <f t="shared" ref="L44:N44" si="104">L31/L24</f>
        <v>0.36765514460613613</v>
      </c>
      <c r="M44" s="9">
        <f t="shared" si="104"/>
        <v>0.2823056498008556</v>
      </c>
      <c r="N44" s="9">
        <f t="shared" si="104"/>
        <v>0.20314401975446039</v>
      </c>
      <c r="O44" s="9">
        <f t="shared" ref="O44:X44" si="105">O31/O24</f>
        <v>0.23531457587034404</v>
      </c>
      <c r="P44" s="9">
        <f t="shared" si="105"/>
        <v>0.26799570131812339</v>
      </c>
      <c r="Q44" s="9">
        <f t="shared" si="105"/>
        <v>0.29871595923903604</v>
      </c>
      <c r="R44" s="9">
        <f t="shared" si="105"/>
        <v>0.32759300168469396</v>
      </c>
      <c r="S44" s="9">
        <f t="shared" si="105"/>
        <v>0.33</v>
      </c>
      <c r="T44" s="9">
        <f t="shared" si="105"/>
        <v>0.33</v>
      </c>
      <c r="U44" s="9">
        <f t="shared" si="105"/>
        <v>0.33</v>
      </c>
      <c r="V44" s="9">
        <f t="shared" si="105"/>
        <v>0.33000000000000007</v>
      </c>
      <c r="W44" s="9">
        <f t="shared" si="105"/>
        <v>0.33</v>
      </c>
      <c r="X44" s="9">
        <f t="shared" si="105"/>
        <v>0.33000000000000007</v>
      </c>
    </row>
    <row r="45" spans="1:24" x14ac:dyDescent="0.2">
      <c r="B45" s="5" t="s">
        <v>50</v>
      </c>
      <c r="C45" s="9"/>
      <c r="D45" s="9"/>
      <c r="E45" s="9"/>
      <c r="F45" s="9"/>
      <c r="G45" s="9"/>
      <c r="H45" s="9"/>
      <c r="I45" s="9"/>
      <c r="J45" s="9"/>
      <c r="L45" s="9">
        <f>L30/L24</f>
        <v>0.42498442139217768</v>
      </c>
      <c r="M45" s="9">
        <f t="shared" ref="M45:N45" si="106">M30/M24</f>
        <v>0.47805723558046909</v>
      </c>
      <c r="N45" s="9">
        <f t="shared" si="106"/>
        <v>0.57945257886133616</v>
      </c>
      <c r="O45" s="9">
        <f>N45*0.94</f>
        <v>0.54468542412965593</v>
      </c>
      <c r="P45" s="9">
        <f t="shared" ref="P45:R45" si="107">O45*0.94</f>
        <v>0.51200429868187658</v>
      </c>
      <c r="Q45" s="9">
        <f t="shared" si="107"/>
        <v>0.48128404076096398</v>
      </c>
      <c r="R45" s="9">
        <f t="shared" si="107"/>
        <v>0.45240699831530612</v>
      </c>
      <c r="S45" s="9">
        <v>0.45</v>
      </c>
      <c r="T45" s="9">
        <v>0.45</v>
      </c>
      <c r="U45" s="9">
        <v>0.45</v>
      </c>
      <c r="V45" s="9">
        <v>0.45</v>
      </c>
      <c r="W45" s="9">
        <v>0.45</v>
      </c>
      <c r="X45" s="9">
        <v>0.45</v>
      </c>
    </row>
    <row r="46" spans="1:24" x14ac:dyDescent="0.2">
      <c r="K46" s="9"/>
      <c r="L46" s="9"/>
      <c r="M46" s="9"/>
      <c r="N46" s="9"/>
    </row>
    <row r="47" spans="1:24" x14ac:dyDescent="0.2">
      <c r="B47" s="5" t="s">
        <v>36</v>
      </c>
      <c r="G47" s="5">
        <f>G48-G49</f>
        <v>-17085</v>
      </c>
      <c r="H47" s="5">
        <f>G47+H35</f>
        <v>-17085</v>
      </c>
      <c r="I47" s="5">
        <f>H47+I35</f>
        <v>-17085</v>
      </c>
      <c r="J47" s="5">
        <f>I47+J35</f>
        <v>-17085</v>
      </c>
      <c r="L47" s="9"/>
      <c r="M47" s="5">
        <f>M48-M49</f>
        <v>-20832</v>
      </c>
      <c r="N47" s="5">
        <f>N48-N49</f>
        <v>-17754</v>
      </c>
      <c r="O47" s="5">
        <f t="shared" ref="O47:X47" si="108">N47+O35</f>
        <v>-11644.453224414839</v>
      </c>
      <c r="P47" s="5">
        <f t="shared" si="108"/>
        <v>-5049.2348065967908</v>
      </c>
      <c r="Q47" s="5">
        <f t="shared" si="108"/>
        <v>2521.7334827382501</v>
      </c>
      <c r="R47" s="5">
        <f t="shared" si="108"/>
        <v>10568.630077549067</v>
      </c>
      <c r="S47" s="5">
        <f t="shared" si="108"/>
        <v>19005.967231798975</v>
      </c>
      <c r="T47" s="5">
        <f t="shared" si="108"/>
        <v>27575.854311412721</v>
      </c>
      <c r="U47" s="5">
        <f t="shared" si="108"/>
        <v>36500.742957890805</v>
      </c>
      <c r="V47" s="5">
        <f t="shared" si="108"/>
        <v>45799.070555218059</v>
      </c>
      <c r="W47" s="5">
        <f t="shared" si="108"/>
        <v>55490.425074829967</v>
      </c>
      <c r="X47" s="5">
        <f t="shared" si="108"/>
        <v>65595.626851529567</v>
      </c>
    </row>
    <row r="48" spans="1:24" x14ac:dyDescent="0.2">
      <c r="B48" s="5" t="s">
        <v>3</v>
      </c>
      <c r="G48" s="5">
        <v>7926</v>
      </c>
      <c r="M48" s="5">
        <f>M51+M52</f>
        <v>7264</v>
      </c>
      <c r="N48" s="5">
        <f>N51+N52</f>
        <v>9991</v>
      </c>
    </row>
    <row r="49" spans="2:14" x14ac:dyDescent="0.2">
      <c r="B49" s="5" t="s">
        <v>4</v>
      </c>
      <c r="G49" s="5">
        <f>22146+819+709+1337</f>
        <v>25011</v>
      </c>
      <c r="M49" s="5">
        <f>SUM(M67:M70)</f>
        <v>28096</v>
      </c>
      <c r="N49" s="5">
        <f>SUM(N67:N70)</f>
        <v>27745</v>
      </c>
    </row>
    <row r="51" spans="2:14" x14ac:dyDescent="0.2">
      <c r="B51" s="5" t="s">
        <v>3</v>
      </c>
      <c r="M51" s="5">
        <v>6085</v>
      </c>
      <c r="N51" s="5">
        <v>9991</v>
      </c>
    </row>
    <row r="52" spans="2:14" x14ac:dyDescent="0.2">
      <c r="B52" s="5" t="s">
        <v>61</v>
      </c>
      <c r="M52" s="5">
        <v>1179</v>
      </c>
      <c r="N52" s="5">
        <v>0</v>
      </c>
    </row>
    <row r="53" spans="2:14" x14ac:dyDescent="0.2">
      <c r="B53" s="5" t="s">
        <v>62</v>
      </c>
      <c r="M53" s="5">
        <v>4660</v>
      </c>
      <c r="N53" s="5">
        <v>4420</v>
      </c>
    </row>
    <row r="54" spans="2:14" x14ac:dyDescent="0.2">
      <c r="B54" s="5" t="s">
        <v>63</v>
      </c>
      <c r="M54" s="5">
        <v>1787</v>
      </c>
      <c r="N54" s="5">
        <v>1710</v>
      </c>
    </row>
    <row r="55" spans="2:14" x14ac:dyDescent="0.2">
      <c r="B55" s="5" t="s">
        <v>64</v>
      </c>
      <c r="M55" s="5">
        <v>2374</v>
      </c>
      <c r="N55" s="5">
        <v>3052</v>
      </c>
    </row>
    <row r="56" spans="2:14" x14ac:dyDescent="0.2">
      <c r="B56" s="5" t="s">
        <v>65</v>
      </c>
      <c r="M56" s="5">
        <v>5317</v>
      </c>
      <c r="N56" s="5">
        <v>5414</v>
      </c>
    </row>
    <row r="57" spans="2:14" x14ac:dyDescent="0.2">
      <c r="B57" s="5" t="s">
        <v>66</v>
      </c>
      <c r="M57" s="5">
        <v>1163</v>
      </c>
      <c r="N57" s="5">
        <v>0</v>
      </c>
    </row>
    <row r="58" spans="2:14" x14ac:dyDescent="0.2">
      <c r="B58" s="5" t="s">
        <v>67</v>
      </c>
      <c r="M58" s="5">
        <v>26454</v>
      </c>
      <c r="N58" s="5">
        <v>19948</v>
      </c>
    </row>
    <row r="59" spans="2:14" x14ac:dyDescent="0.2">
      <c r="B59" s="5" t="s">
        <v>68</v>
      </c>
      <c r="M59" s="5">
        <v>8314</v>
      </c>
      <c r="N59" s="5">
        <v>8314</v>
      </c>
    </row>
    <row r="60" spans="2:14" x14ac:dyDescent="0.2">
      <c r="B60" s="5" t="s">
        <v>69</v>
      </c>
      <c r="M60" s="5">
        <v>4792</v>
      </c>
      <c r="N60" s="5">
        <v>6146</v>
      </c>
    </row>
    <row r="61" spans="2:14" x14ac:dyDescent="0.2">
      <c r="B61" s="5" t="s">
        <v>70</v>
      </c>
      <c r="M61" s="5">
        <f>SUM(M51:M60)</f>
        <v>62125</v>
      </c>
      <c r="N61" s="5">
        <f>SUM(N51:N60)</f>
        <v>58995</v>
      </c>
    </row>
    <row r="63" spans="2:14" x14ac:dyDescent="0.2">
      <c r="B63" s="5" t="s">
        <v>71</v>
      </c>
      <c r="M63" s="5">
        <v>550</v>
      </c>
      <c r="N63" s="5">
        <v>833</v>
      </c>
    </row>
    <row r="64" spans="2:14" x14ac:dyDescent="0.2">
      <c r="B64" s="5" t="s">
        <v>72</v>
      </c>
      <c r="M64" s="5">
        <v>3802</v>
      </c>
      <c r="N64" s="5">
        <v>3892</v>
      </c>
    </row>
    <row r="65" spans="2:24" x14ac:dyDescent="0.2">
      <c r="B65" s="5" t="s">
        <v>73</v>
      </c>
      <c r="M65" s="5">
        <v>1798</v>
      </c>
      <c r="N65" s="5">
        <v>1815</v>
      </c>
    </row>
    <row r="66" spans="2:24" x14ac:dyDescent="0.2">
      <c r="B66" s="5" t="s">
        <v>74</v>
      </c>
      <c r="M66" s="5">
        <v>5130</v>
      </c>
      <c r="N66" s="5">
        <v>5464</v>
      </c>
    </row>
    <row r="67" spans="2:24" x14ac:dyDescent="0.2">
      <c r="B67" s="5" t="s">
        <v>76</v>
      </c>
      <c r="M67" s="5">
        <v>23189</v>
      </c>
      <c r="N67" s="5">
        <v>24896</v>
      </c>
    </row>
    <row r="68" spans="2:24" x14ac:dyDescent="0.2">
      <c r="B68" s="5" t="s">
        <v>77</v>
      </c>
      <c r="M68" s="5">
        <v>2039</v>
      </c>
      <c r="N68" s="5">
        <v>830</v>
      </c>
    </row>
    <row r="69" spans="2:24" x14ac:dyDescent="0.2">
      <c r="B69" s="5" t="s">
        <v>75</v>
      </c>
      <c r="M69" s="5">
        <v>1588</v>
      </c>
      <c r="N69" s="5">
        <v>724</v>
      </c>
    </row>
    <row r="70" spans="2:24" x14ac:dyDescent="0.2">
      <c r="B70" s="5" t="s">
        <v>78</v>
      </c>
      <c r="M70" s="5">
        <v>1280</v>
      </c>
      <c r="N70" s="5">
        <v>1295</v>
      </c>
    </row>
    <row r="71" spans="2:24" x14ac:dyDescent="0.2">
      <c r="B71" s="5" t="s">
        <v>81</v>
      </c>
      <c r="M71" s="5">
        <f>SUM(M63:M70)</f>
        <v>39376</v>
      </c>
      <c r="N71" s="5">
        <f>SUM(N63:N70)</f>
        <v>39749</v>
      </c>
    </row>
    <row r="72" spans="2:24" x14ac:dyDescent="0.2">
      <c r="B72" s="5" t="s">
        <v>79</v>
      </c>
      <c r="M72" s="5">
        <f>M61-M71</f>
        <v>22749</v>
      </c>
      <c r="N72" s="5">
        <f>N61-N71</f>
        <v>19246</v>
      </c>
    </row>
    <row r="73" spans="2:24" x14ac:dyDescent="0.2">
      <c r="B73" s="5" t="s">
        <v>80</v>
      </c>
      <c r="M73" s="5">
        <f>SUM(M71:M72)</f>
        <v>62125</v>
      </c>
      <c r="N73" s="5">
        <f>SUM(N71:N72)</f>
        <v>58995</v>
      </c>
    </row>
    <row r="75" spans="2:24" x14ac:dyDescent="0.2">
      <c r="B75" s="5" t="s">
        <v>82</v>
      </c>
      <c r="M75" s="5">
        <f>M53/M24*360</f>
        <v>61.867532084378226</v>
      </c>
      <c r="N75" s="5">
        <f>N53/N24*360</f>
        <v>55.340312315236666</v>
      </c>
    </row>
    <row r="77" spans="2:24" x14ac:dyDescent="0.2">
      <c r="B77" s="5" t="s">
        <v>83</v>
      </c>
      <c r="L77" s="5">
        <f>L35</f>
        <v>7847</v>
      </c>
      <c r="M77" s="5">
        <f>M35</f>
        <v>5464</v>
      </c>
      <c r="N77" s="5">
        <f>N35</f>
        <v>4653</v>
      </c>
      <c r="O77" s="5">
        <f>O35</f>
        <v>6109.5467755851596</v>
      </c>
      <c r="P77" s="5">
        <f t="shared" ref="P77:X77" si="109">P35</f>
        <v>6595.2184178180487</v>
      </c>
      <c r="Q77" s="5">
        <f t="shared" si="109"/>
        <v>7570.9682893350409</v>
      </c>
      <c r="R77" s="5">
        <f t="shared" si="109"/>
        <v>8046.8965948108171</v>
      </c>
      <c r="S77" s="5">
        <f t="shared" si="109"/>
        <v>8437.3371542499081</v>
      </c>
      <c r="T77" s="5">
        <f t="shared" si="109"/>
        <v>8569.8870796137453</v>
      </c>
      <c r="U77" s="5">
        <f t="shared" si="109"/>
        <v>8924.8886464780862</v>
      </c>
      <c r="V77" s="5">
        <f t="shared" si="109"/>
        <v>9298.3275973272503</v>
      </c>
      <c r="W77" s="5">
        <f t="shared" si="109"/>
        <v>9691.3545196119121</v>
      </c>
      <c r="X77" s="5">
        <f t="shared" si="109"/>
        <v>10105.201776699603</v>
      </c>
    </row>
    <row r="78" spans="2:24" x14ac:dyDescent="0.2">
      <c r="B78" s="5" t="s">
        <v>84</v>
      </c>
      <c r="L78" s="5">
        <v>4566</v>
      </c>
      <c r="M78" s="5">
        <v>5613</v>
      </c>
      <c r="N78" s="5">
        <v>480</v>
      </c>
    </row>
    <row r="79" spans="2:24" x14ac:dyDescent="0.2">
      <c r="B79" s="5" t="s">
        <v>85</v>
      </c>
      <c r="L79" s="5">
        <f>323+1780</f>
        <v>2103</v>
      </c>
      <c r="M79" s="5">
        <f>354+2339</f>
        <v>2693</v>
      </c>
      <c r="N79" s="5">
        <f>381+2386</f>
        <v>2767</v>
      </c>
      <c r="O79" s="5">
        <f>N79*(1+O39)</f>
        <v>2747.8572448092373</v>
      </c>
      <c r="P79" s="5">
        <f t="shared" ref="P79:X79" si="110">O79*(1+P39)</f>
        <v>2837.4049691753903</v>
      </c>
      <c r="Q79" s="5">
        <f t="shared" si="110"/>
        <v>2868.6264284472222</v>
      </c>
      <c r="R79" s="5">
        <f t="shared" si="110"/>
        <v>2903.5169178987021</v>
      </c>
      <c r="S79" s="5">
        <f t="shared" si="110"/>
        <v>2975.9732464334174</v>
      </c>
      <c r="T79" s="5">
        <f t="shared" si="110"/>
        <v>3052.5942977963405</v>
      </c>
      <c r="U79" s="5">
        <f t="shared" si="110"/>
        <v>3133.6553171137793</v>
      </c>
      <c r="V79" s="5">
        <f t="shared" si="110"/>
        <v>3219.451729961494</v>
      </c>
      <c r="W79" s="5">
        <f t="shared" si="110"/>
        <v>3310.3007252839084</v>
      </c>
      <c r="X79" s="5">
        <f t="shared" si="110"/>
        <v>3406.5429677552079</v>
      </c>
    </row>
    <row r="80" spans="2:24" x14ac:dyDescent="0.2">
      <c r="B80" s="5" t="s">
        <v>86</v>
      </c>
      <c r="L80" s="5">
        <v>637</v>
      </c>
      <c r="M80" s="5">
        <v>766</v>
      </c>
      <c r="N80" s="5">
        <v>835</v>
      </c>
      <c r="O80" s="5">
        <f>N80*1.08</f>
        <v>901.80000000000007</v>
      </c>
      <c r="P80" s="5">
        <f t="shared" ref="P80:X80" si="111">O80*1.08</f>
        <v>973.94400000000019</v>
      </c>
      <c r="Q80" s="5">
        <f t="shared" si="111"/>
        <v>1051.8595200000002</v>
      </c>
      <c r="R80" s="5">
        <f t="shared" si="111"/>
        <v>1136.0082816000004</v>
      </c>
      <c r="S80" s="5">
        <f t="shared" si="111"/>
        <v>1226.8889441280005</v>
      </c>
      <c r="T80" s="5">
        <f t="shared" si="111"/>
        <v>1325.0400596582406</v>
      </c>
      <c r="U80" s="5">
        <f t="shared" si="111"/>
        <v>1431.0432644308999</v>
      </c>
      <c r="V80" s="5">
        <f t="shared" si="111"/>
        <v>1545.5267255853719</v>
      </c>
      <c r="W80" s="5">
        <f t="shared" si="111"/>
        <v>1669.1688636322017</v>
      </c>
      <c r="X80" s="5">
        <f t="shared" si="111"/>
        <v>1802.7023727227779</v>
      </c>
    </row>
    <row r="81" spans="1:27" x14ac:dyDescent="0.2">
      <c r="B81" s="5" t="s">
        <v>87</v>
      </c>
      <c r="L81" s="5">
        <v>-1552</v>
      </c>
      <c r="M81" s="5">
        <v>-962</v>
      </c>
      <c r="N81" s="5">
        <v>-1844</v>
      </c>
      <c r="O81" s="5">
        <f>N81*0.9</f>
        <v>-1659.6000000000001</v>
      </c>
      <c r="P81" s="5">
        <f t="shared" ref="P81:X81" si="112">O81*0.9</f>
        <v>-1493.64</v>
      </c>
      <c r="Q81" s="5">
        <f t="shared" si="112"/>
        <v>-1344.2760000000001</v>
      </c>
      <c r="R81" s="5">
        <f t="shared" si="112"/>
        <v>-1209.8484000000001</v>
      </c>
      <c r="S81" s="5">
        <f t="shared" si="112"/>
        <v>-1088.86356</v>
      </c>
      <c r="T81" s="5">
        <f t="shared" si="112"/>
        <v>-979.97720400000003</v>
      </c>
      <c r="U81" s="5">
        <f t="shared" si="112"/>
        <v>-881.97948360000009</v>
      </c>
      <c r="V81" s="5">
        <f t="shared" si="112"/>
        <v>-793.78153524000015</v>
      </c>
      <c r="W81" s="5">
        <f t="shared" si="112"/>
        <v>-714.40338171600013</v>
      </c>
      <c r="X81" s="5">
        <f t="shared" si="112"/>
        <v>-642.96304354440008</v>
      </c>
    </row>
    <row r="82" spans="1:27" x14ac:dyDescent="0.2">
      <c r="B82" s="5" t="s">
        <v>88</v>
      </c>
      <c r="L82" s="5">
        <v>657</v>
      </c>
      <c r="M82" s="5">
        <v>167</v>
      </c>
      <c r="N82" s="5">
        <v>274</v>
      </c>
      <c r="O82" s="5">
        <f>N82*(1+O39)</f>
        <v>272.10440371439506</v>
      </c>
      <c r="P82" s="5">
        <f t="shared" ref="P82:X82" si="113">O82*(1+P39)</f>
        <v>280.97179673077596</v>
      </c>
      <c r="Q82" s="5">
        <f t="shared" si="113"/>
        <v>284.063477193545</v>
      </c>
      <c r="R82" s="5">
        <f t="shared" si="113"/>
        <v>287.51848048581297</v>
      </c>
      <c r="S82" s="5">
        <f t="shared" si="113"/>
        <v>294.69341146467525</v>
      </c>
      <c r="T82" s="5">
        <f t="shared" si="113"/>
        <v>302.28075084792096</v>
      </c>
      <c r="U82" s="5">
        <f t="shared" si="113"/>
        <v>310.30775456782635</v>
      </c>
      <c r="V82" s="5">
        <f t="shared" si="113"/>
        <v>318.80367690981183</v>
      </c>
      <c r="W82" s="5">
        <f t="shared" si="113"/>
        <v>327.79992725977263</v>
      </c>
      <c r="X82" s="5">
        <f t="shared" si="113"/>
        <v>337.33023966929051</v>
      </c>
    </row>
    <row r="83" spans="1:27" x14ac:dyDescent="0.2">
      <c r="B83" s="5" t="s">
        <v>21</v>
      </c>
      <c r="L83" s="5">
        <v>944</v>
      </c>
      <c r="M83" s="5">
        <v>1155</v>
      </c>
      <c r="N83" s="5">
        <v>4663</v>
      </c>
      <c r="O83" s="5">
        <v>2500</v>
      </c>
      <c r="P83" s="5">
        <f>O83*(1+P39)</f>
        <v>2581.4705026392026</v>
      </c>
      <c r="Q83" s="5">
        <f t="shared" ref="Q83:X83" si="114">P83*(1+Q39)</f>
        <v>2609.8757803613348</v>
      </c>
      <c r="R83" s="5">
        <f t="shared" si="114"/>
        <v>2641.6191410448173</v>
      </c>
      <c r="S83" s="5">
        <f t="shared" si="114"/>
        <v>2707.5398949991818</v>
      </c>
      <c r="T83" s="5">
        <f t="shared" si="114"/>
        <v>2777.2497129925127</v>
      </c>
      <c r="U83" s="5">
        <f t="shared" si="114"/>
        <v>2850.999012988505</v>
      </c>
      <c r="V83" s="5">
        <f t="shared" si="114"/>
        <v>2929.0565731199363</v>
      </c>
      <c r="W83" s="5">
        <f t="shared" si="114"/>
        <v>3011.7109718282663</v>
      </c>
      <c r="X83" s="5">
        <f t="shared" si="114"/>
        <v>3099.2721457694374</v>
      </c>
    </row>
    <row r="84" spans="1:27" x14ac:dyDescent="0.2">
      <c r="B84" s="5" t="s">
        <v>89</v>
      </c>
      <c r="L84" s="5">
        <v>2700</v>
      </c>
      <c r="M84" s="5">
        <v>50</v>
      </c>
      <c r="N84" s="5">
        <v>4180</v>
      </c>
      <c r="O84" s="5">
        <v>1200</v>
      </c>
      <c r="P84" s="5">
        <f>O84*(1+P39)</f>
        <v>1239.1058412668172</v>
      </c>
      <c r="Q84" s="5">
        <f t="shared" ref="Q84:X84" si="115">P84*(1+Q39)</f>
        <v>1252.7403745734407</v>
      </c>
      <c r="R84" s="5">
        <f t="shared" si="115"/>
        <v>1267.9771877015123</v>
      </c>
      <c r="S84" s="5">
        <f t="shared" si="115"/>
        <v>1299.6191495996075</v>
      </c>
      <c r="T84" s="5">
        <f t="shared" si="115"/>
        <v>1333.0798622364064</v>
      </c>
      <c r="U84" s="5">
        <f t="shared" si="115"/>
        <v>1368.4795262344826</v>
      </c>
      <c r="V84" s="5">
        <f t="shared" si="115"/>
        <v>1405.9471550975695</v>
      </c>
      <c r="W84" s="5">
        <f t="shared" si="115"/>
        <v>1445.6212664775678</v>
      </c>
      <c r="X84" s="5">
        <f t="shared" si="115"/>
        <v>1487.6506299693299</v>
      </c>
    </row>
    <row r="85" spans="1:27" x14ac:dyDescent="0.2">
      <c r="B85" s="5" t="s">
        <v>43</v>
      </c>
      <c r="L85" s="5">
        <v>780</v>
      </c>
      <c r="M85" s="5">
        <v>826</v>
      </c>
      <c r="N85" s="5">
        <v>353</v>
      </c>
      <c r="O85" s="5">
        <f>N85*(1+O39)</f>
        <v>350.55786317949435</v>
      </c>
      <c r="P85" s="5">
        <f t="shared" ref="P85:X85" si="116">O85*(1+P39)</f>
        <v>361.98191330643766</v>
      </c>
      <c r="Q85" s="5">
        <f t="shared" si="116"/>
        <v>365.96499069095398</v>
      </c>
      <c r="R85" s="5">
        <f t="shared" si="116"/>
        <v>370.41614456748903</v>
      </c>
      <c r="S85" s="5">
        <f t="shared" si="116"/>
        <v>379.65976002565833</v>
      </c>
      <c r="T85" s="5">
        <f t="shared" si="116"/>
        <v>389.43468996100773</v>
      </c>
      <c r="U85" s="5">
        <f t="shared" si="116"/>
        <v>399.77604876803917</v>
      </c>
      <c r="V85" s="5">
        <f t="shared" si="116"/>
        <v>410.72152536191095</v>
      </c>
      <c r="W85" s="5">
        <f t="shared" si="116"/>
        <v>422.31158511934217</v>
      </c>
      <c r="X85" s="5">
        <f t="shared" si="116"/>
        <v>434.58968833306415</v>
      </c>
    </row>
    <row r="86" spans="1:27" x14ac:dyDescent="0.2">
      <c r="B86" s="5" t="s">
        <v>62</v>
      </c>
      <c r="L86" s="5">
        <v>-406</v>
      </c>
      <c r="M86" s="5">
        <v>157</v>
      </c>
      <c r="N86" s="5">
        <v>139</v>
      </c>
      <c r="O86" s="5">
        <f>N86*(1+O39)</f>
        <v>138.03836538795952</v>
      </c>
      <c r="P86" s="5">
        <f t="shared" ref="P86:X86" si="117">O86*(1+P39)</f>
        <v>142.53678739261991</v>
      </c>
      <c r="Q86" s="5">
        <f t="shared" si="117"/>
        <v>144.10519463468157</v>
      </c>
      <c r="R86" s="5">
        <f t="shared" si="117"/>
        <v>145.85791528294891</v>
      </c>
      <c r="S86" s="5">
        <f t="shared" si="117"/>
        <v>149.49775253134985</v>
      </c>
      <c r="T86" s="5">
        <f t="shared" si="117"/>
        <v>153.34680426226646</v>
      </c>
      <c r="U86" s="5">
        <f t="shared" si="117"/>
        <v>157.41889739024768</v>
      </c>
      <c r="V86" s="5">
        <f t="shared" si="117"/>
        <v>161.72887259293373</v>
      </c>
      <c r="W86" s="5">
        <f t="shared" si="117"/>
        <v>166.29266382886274</v>
      </c>
      <c r="X86" s="5">
        <f t="shared" si="117"/>
        <v>171.12738435777877</v>
      </c>
    </row>
    <row r="87" spans="1:27" x14ac:dyDescent="0.2">
      <c r="B87" s="5" t="s">
        <v>63</v>
      </c>
      <c r="L87" s="5">
        <v>-310</v>
      </c>
      <c r="M87" s="5">
        <v>-842</v>
      </c>
      <c r="N87" s="5">
        <v>-426</v>
      </c>
      <c r="O87" s="5">
        <f>N87*(1+O39)</f>
        <v>-423.05283205230762</v>
      </c>
      <c r="P87" s="5">
        <f t="shared" ref="P87:X87" si="118">O87*(1+P39)</f>
        <v>-436.83936280040348</v>
      </c>
      <c r="Q87" s="5">
        <f t="shared" si="118"/>
        <v>-441.64613607463565</v>
      </c>
      <c r="R87" s="5">
        <f t="shared" si="118"/>
        <v>-447.01778352903767</v>
      </c>
      <c r="S87" s="5">
        <f t="shared" si="118"/>
        <v>-458.1729681896046</v>
      </c>
      <c r="T87" s="5">
        <f t="shared" si="118"/>
        <v>-469.96934255917643</v>
      </c>
      <c r="U87" s="5">
        <f t="shared" si="118"/>
        <v>-482.44928264924835</v>
      </c>
      <c r="V87" s="5">
        <f t="shared" si="118"/>
        <v>-495.65827139992649</v>
      </c>
      <c r="W87" s="5">
        <f t="shared" si="118"/>
        <v>-509.64514238198234</v>
      </c>
      <c r="X87" s="5">
        <f t="shared" si="118"/>
        <v>-524.46234342743719</v>
      </c>
    </row>
    <row r="88" spans="1:27" x14ac:dyDescent="0.2">
      <c r="B88" s="5" t="s">
        <v>90</v>
      </c>
      <c r="L88" s="5">
        <v>-134</v>
      </c>
      <c r="M88" s="5">
        <v>39</v>
      </c>
      <c r="N88" s="5">
        <v>-259</v>
      </c>
      <c r="O88" s="5">
        <f>N88*(1+O39)</f>
        <v>-257.20817723367998</v>
      </c>
      <c r="P88" s="5">
        <f t="shared" ref="P88:X88" si="119">O88*(1+P39)</f>
        <v>-265.59012902653637</v>
      </c>
      <c r="Q88" s="5">
        <f t="shared" si="119"/>
        <v>-268.51255690922682</v>
      </c>
      <c r="R88" s="5">
        <f t="shared" si="119"/>
        <v>-271.77841768549473</v>
      </c>
      <c r="S88" s="5">
        <f t="shared" si="119"/>
        <v>-278.56056047208352</v>
      </c>
      <c r="T88" s="5">
        <f t="shared" si="119"/>
        <v>-285.73253456062599</v>
      </c>
      <c r="U88" s="5">
        <f t="shared" si="119"/>
        <v>-293.32010377031759</v>
      </c>
      <c r="V88" s="5">
        <f t="shared" si="119"/>
        <v>-301.3509208746031</v>
      </c>
      <c r="W88" s="5">
        <f t="shared" si="119"/>
        <v>-309.85467576744924</v>
      </c>
      <c r="X88" s="5">
        <f t="shared" si="119"/>
        <v>-318.86325574578916</v>
      </c>
    </row>
    <row r="89" spans="1:27" x14ac:dyDescent="0.2">
      <c r="B89" s="5" t="s">
        <v>71</v>
      </c>
      <c r="L89" s="5">
        <v>226</v>
      </c>
      <c r="M89" s="5">
        <v>-347</v>
      </c>
      <c r="N89" s="5">
        <v>290</v>
      </c>
      <c r="O89" s="5">
        <f>N89*(1+O39)</f>
        <v>287.99371196049111</v>
      </c>
      <c r="P89" s="5">
        <f t="shared" ref="P89:X89" si="120">O89*(1+P39)</f>
        <v>297.37890894863148</v>
      </c>
      <c r="Q89" s="5">
        <f t="shared" si="120"/>
        <v>300.65112549681766</v>
      </c>
      <c r="R89" s="5">
        <f t="shared" si="120"/>
        <v>304.30788080615235</v>
      </c>
      <c r="S89" s="5">
        <f t="shared" si="120"/>
        <v>311.90178585677302</v>
      </c>
      <c r="T89" s="5">
        <f t="shared" si="120"/>
        <v>319.93218155436887</v>
      </c>
      <c r="U89" s="5">
        <f t="shared" si="120"/>
        <v>328.42791541850232</v>
      </c>
      <c r="V89" s="5">
        <f t="shared" si="120"/>
        <v>337.41995001403438</v>
      </c>
      <c r="W89" s="5">
        <f t="shared" si="120"/>
        <v>346.94152885158411</v>
      </c>
      <c r="X89" s="5">
        <f t="shared" si="120"/>
        <v>357.02835585435849</v>
      </c>
      <c r="Z89" s="5" t="s">
        <v>51</v>
      </c>
      <c r="AA89" s="12">
        <v>0.02</v>
      </c>
    </row>
    <row r="90" spans="1:27" x14ac:dyDescent="0.2">
      <c r="B90" s="5" t="s">
        <v>91</v>
      </c>
      <c r="L90" s="5">
        <v>-364</v>
      </c>
      <c r="M90" s="5">
        <v>-1768</v>
      </c>
      <c r="N90" s="5">
        <v>-732</v>
      </c>
      <c r="O90" s="5">
        <f>N90*(1+O39)</f>
        <v>-726.93585225889478</v>
      </c>
      <c r="P90" s="5">
        <f t="shared" ref="P90:X90" si="121">O90*(1+P39)</f>
        <v>-750.62538396689047</v>
      </c>
      <c r="Q90" s="5">
        <f t="shared" si="121"/>
        <v>-758.88490987472596</v>
      </c>
      <c r="R90" s="5">
        <f t="shared" si="121"/>
        <v>-768.11506465552952</v>
      </c>
      <c r="S90" s="5">
        <f t="shared" si="121"/>
        <v>-787.2831284384755</v>
      </c>
      <c r="T90" s="5">
        <f t="shared" si="121"/>
        <v>-807.55295481999326</v>
      </c>
      <c r="U90" s="5">
        <f t="shared" si="121"/>
        <v>-828.9973589184267</v>
      </c>
      <c r="V90" s="5">
        <f t="shared" si="121"/>
        <v>-851.69449451818343</v>
      </c>
      <c r="W90" s="5">
        <f t="shared" si="121"/>
        <v>-875.72827282537799</v>
      </c>
      <c r="X90" s="5">
        <f t="shared" si="121"/>
        <v>-901.18881546686373</v>
      </c>
      <c r="Z90" s="5" t="s">
        <v>52</v>
      </c>
      <c r="AA90" s="12">
        <v>-0.01</v>
      </c>
    </row>
    <row r="91" spans="1:27" x14ac:dyDescent="0.2">
      <c r="B91" s="5" t="s">
        <v>92</v>
      </c>
      <c r="L91" s="5">
        <v>-775</v>
      </c>
      <c r="M91" s="5">
        <v>458</v>
      </c>
      <c r="N91" s="5">
        <v>108</v>
      </c>
      <c r="O91" s="5">
        <f>N91*(1+O39)</f>
        <v>107.25283066114841</v>
      </c>
      <c r="P91" s="5">
        <f t="shared" ref="P91:X91" si="122">O91*(1+P39)</f>
        <v>110.74800747052483</v>
      </c>
      <c r="Q91" s="5">
        <f t="shared" si="122"/>
        <v>111.96662604709073</v>
      </c>
      <c r="R91" s="5">
        <f t="shared" si="122"/>
        <v>113.32845216229124</v>
      </c>
      <c r="S91" s="5">
        <f t="shared" si="122"/>
        <v>116.15652714666032</v>
      </c>
      <c r="T91" s="5">
        <f t="shared" si="122"/>
        <v>119.1471572685236</v>
      </c>
      <c r="U91" s="5">
        <f t="shared" si="122"/>
        <v>122.31108574206296</v>
      </c>
      <c r="V91" s="5">
        <f t="shared" si="122"/>
        <v>125.65984345350248</v>
      </c>
      <c r="W91" s="5">
        <f t="shared" si="122"/>
        <v>129.2058107447279</v>
      </c>
      <c r="X91" s="5">
        <f t="shared" si="122"/>
        <v>132.9622842492094</v>
      </c>
      <c r="Z91" s="5" t="s">
        <v>53</v>
      </c>
      <c r="AA91" s="12">
        <v>8.5000000000000006E-2</v>
      </c>
    </row>
    <row r="92" spans="1:27" s="7" customFormat="1" x14ac:dyDescent="0.2">
      <c r="A92" s="5"/>
      <c r="B92" s="7" t="s">
        <v>34</v>
      </c>
      <c r="L92" s="7">
        <f>SUM(L78:L91)</f>
        <v>9072</v>
      </c>
      <c r="M92" s="7">
        <f t="shared" ref="M92:N92" si="123">SUM(M78:M91)</f>
        <v>8005</v>
      </c>
      <c r="N92" s="7">
        <f t="shared" si="123"/>
        <v>10828</v>
      </c>
      <c r="O92" s="7">
        <f>SUM(O77:O91)</f>
        <v>11548.354333752999</v>
      </c>
      <c r="P92" s="7">
        <f t="shared" ref="P92:X92" si="124">SUM(P77:P91)</f>
        <v>12474.066268954619</v>
      </c>
      <c r="Q92" s="7">
        <f t="shared" si="124"/>
        <v>13747.50220392154</v>
      </c>
      <c r="R92" s="7">
        <f t="shared" si="124"/>
        <v>14520.687330490484</v>
      </c>
      <c r="S92" s="7">
        <f t="shared" si="124"/>
        <v>15286.38740933507</v>
      </c>
      <c r="T92" s="7">
        <f t="shared" si="124"/>
        <v>15798.760560251536</v>
      </c>
      <c r="U92" s="7">
        <f t="shared" si="124"/>
        <v>16540.561240194438</v>
      </c>
      <c r="V92" s="7">
        <f t="shared" si="124"/>
        <v>17310.158427391099</v>
      </c>
      <c r="W92" s="7">
        <f t="shared" si="124"/>
        <v>18111.076389947339</v>
      </c>
      <c r="X92" s="7">
        <f t="shared" si="124"/>
        <v>18946.930387195571</v>
      </c>
      <c r="Z92" s="5" t="s">
        <v>54</v>
      </c>
      <c r="AA92" s="7">
        <f>NPV(AA91,O100:DR100)</f>
        <v>176064.0466126643</v>
      </c>
    </row>
    <row r="93" spans="1:27" x14ac:dyDescent="0.2">
      <c r="B93" s="5" t="s">
        <v>93</v>
      </c>
      <c r="L93" s="5">
        <v>-1770</v>
      </c>
      <c r="M93" s="5">
        <v>-1930</v>
      </c>
      <c r="N93" s="5">
        <v>-244</v>
      </c>
      <c r="Z93" s="5" t="s">
        <v>0</v>
      </c>
      <c r="AA93" s="11">
        <f>AA92/Main!M3</f>
        <v>141.53866226502018</v>
      </c>
    </row>
    <row r="94" spans="1:27" x14ac:dyDescent="0.2">
      <c r="B94" s="5" t="s">
        <v>94</v>
      </c>
      <c r="L94" s="5">
        <v>412</v>
      </c>
      <c r="M94" s="5">
        <v>510</v>
      </c>
      <c r="N94" s="5">
        <v>2265</v>
      </c>
      <c r="Z94" s="5" t="s">
        <v>55</v>
      </c>
      <c r="AA94" s="9">
        <f>AA93/Main!M2-1</f>
        <v>0.29851983729376319</v>
      </c>
    </row>
    <row r="95" spans="1:27" x14ac:dyDescent="0.2">
      <c r="B95" s="5" t="s">
        <v>95</v>
      </c>
      <c r="L95" s="5">
        <v>1590</v>
      </c>
      <c r="M95" s="5">
        <v>1334</v>
      </c>
      <c r="N95" s="5">
        <v>327</v>
      </c>
    </row>
    <row r="96" spans="1:27" x14ac:dyDescent="0.2">
      <c r="B96" s="5" t="s">
        <v>96</v>
      </c>
      <c r="L96" s="5">
        <v>-1797</v>
      </c>
      <c r="M96" s="5">
        <v>-1152</v>
      </c>
      <c r="N96" s="5">
        <v>-4840</v>
      </c>
    </row>
    <row r="97" spans="1:122" x14ac:dyDescent="0.2">
      <c r="B97" s="5" t="s">
        <v>97</v>
      </c>
      <c r="L97" s="5">
        <v>-172</v>
      </c>
      <c r="M97" s="5">
        <v>-442</v>
      </c>
      <c r="N97" s="5">
        <v>-492</v>
      </c>
    </row>
    <row r="98" spans="1:122" s="7" customFormat="1" x14ac:dyDescent="0.2">
      <c r="A98" s="5"/>
      <c r="B98" s="7" t="s">
        <v>98</v>
      </c>
      <c r="L98" s="7">
        <v>-728</v>
      </c>
      <c r="M98" s="7">
        <v>-585</v>
      </c>
      <c r="N98" s="7">
        <v>-523</v>
      </c>
      <c r="O98" s="7">
        <v>-700</v>
      </c>
      <c r="P98" s="7">
        <f>O98*(1+P39)</f>
        <v>-722.81174073897671</v>
      </c>
      <c r="Q98" s="7">
        <f t="shared" ref="Q98:X98" si="125">P98*(1+Q39)</f>
        <v>-730.76521850117376</v>
      </c>
      <c r="R98" s="7">
        <f t="shared" si="125"/>
        <v>-739.65335949254882</v>
      </c>
      <c r="S98" s="7">
        <f t="shared" si="125"/>
        <v>-758.11117059977096</v>
      </c>
      <c r="T98" s="7">
        <f t="shared" si="125"/>
        <v>-777.62991963790364</v>
      </c>
      <c r="U98" s="7">
        <f t="shared" si="125"/>
        <v>-798.27972363678145</v>
      </c>
      <c r="V98" s="7">
        <f t="shared" si="125"/>
        <v>-820.13584047358222</v>
      </c>
      <c r="W98" s="7">
        <f t="shared" si="125"/>
        <v>-843.27907211191462</v>
      </c>
      <c r="X98" s="7">
        <f t="shared" si="125"/>
        <v>-867.79620081544249</v>
      </c>
    </row>
    <row r="99" spans="1:122" x14ac:dyDescent="0.2">
      <c r="B99" s="5" t="s">
        <v>43</v>
      </c>
      <c r="L99" s="5">
        <v>-1</v>
      </c>
      <c r="M99" s="5">
        <v>-1</v>
      </c>
      <c r="N99" s="5">
        <v>58</v>
      </c>
    </row>
    <row r="100" spans="1:122" s="7" customFormat="1" x14ac:dyDescent="0.2">
      <c r="A100" s="5"/>
      <c r="B100" s="7" t="s">
        <v>35</v>
      </c>
      <c r="L100" s="7">
        <f>L92+L98</f>
        <v>8344</v>
      </c>
      <c r="M100" s="7">
        <f t="shared" ref="M100:X100" si="126">M92+M98</f>
        <v>7420</v>
      </c>
      <c r="N100" s="7">
        <f t="shared" si="126"/>
        <v>10305</v>
      </c>
      <c r="O100" s="7">
        <f t="shared" si="126"/>
        <v>10848.354333752999</v>
      </c>
      <c r="P100" s="7">
        <f t="shared" si="126"/>
        <v>11751.254528215642</v>
      </c>
      <c r="Q100" s="7">
        <f t="shared" si="126"/>
        <v>13016.736985420366</v>
      </c>
      <c r="R100" s="7">
        <f t="shared" si="126"/>
        <v>13781.033970997934</v>
      </c>
      <c r="S100" s="7">
        <f t="shared" si="126"/>
        <v>14528.2762387353</v>
      </c>
      <c r="T100" s="7">
        <f t="shared" si="126"/>
        <v>15021.130640613632</v>
      </c>
      <c r="U100" s="7">
        <f t="shared" si="126"/>
        <v>15742.281516557658</v>
      </c>
      <c r="V100" s="7">
        <f t="shared" si="126"/>
        <v>16490.022586917516</v>
      </c>
      <c r="W100" s="7">
        <f t="shared" si="126"/>
        <v>17267.797317835422</v>
      </c>
      <c r="X100" s="7">
        <f t="shared" si="126"/>
        <v>18079.134186380128</v>
      </c>
      <c r="Y100" s="7">
        <f>X100*(1+$AA$90)</f>
        <v>17898.342844516326</v>
      </c>
      <c r="Z100" s="7">
        <f t="shared" ref="Z100:CK100" si="127">Y100*(1+$AA$90)</f>
        <v>17719.359416071162</v>
      </c>
      <c r="AA100" s="7">
        <f t="shared" si="127"/>
        <v>17542.16582191045</v>
      </c>
      <c r="AB100" s="7">
        <f t="shared" si="127"/>
        <v>17366.744163691346</v>
      </c>
      <c r="AC100" s="7">
        <f t="shared" si="127"/>
        <v>17193.076722054433</v>
      </c>
      <c r="AD100" s="7">
        <f t="shared" si="127"/>
        <v>17021.14595483389</v>
      </c>
      <c r="AE100" s="7">
        <f t="shared" si="127"/>
        <v>16850.93449528555</v>
      </c>
      <c r="AF100" s="7">
        <f t="shared" si="127"/>
        <v>16682.425150332696</v>
      </c>
      <c r="AG100" s="7">
        <f t="shared" si="127"/>
        <v>16515.600898829369</v>
      </c>
      <c r="AH100" s="7">
        <f t="shared" si="127"/>
        <v>16350.444889841076</v>
      </c>
      <c r="AI100" s="7">
        <f t="shared" si="127"/>
        <v>16186.940440942664</v>
      </c>
      <c r="AJ100" s="7">
        <f t="shared" si="127"/>
        <v>16025.071036533238</v>
      </c>
      <c r="AK100" s="7">
        <f t="shared" si="127"/>
        <v>15864.820326167905</v>
      </c>
      <c r="AL100" s="7">
        <f t="shared" si="127"/>
        <v>15706.172122906226</v>
      </c>
      <c r="AM100" s="7">
        <f t="shared" si="127"/>
        <v>15549.110401677164</v>
      </c>
      <c r="AN100" s="7">
        <f t="shared" si="127"/>
        <v>15393.619297660392</v>
      </c>
      <c r="AO100" s="7">
        <f t="shared" si="127"/>
        <v>15239.683104683789</v>
      </c>
      <c r="AP100" s="7">
        <f t="shared" si="127"/>
        <v>15087.286273636952</v>
      </c>
      <c r="AQ100" s="7">
        <f t="shared" si="127"/>
        <v>14936.413410900583</v>
      </c>
      <c r="AR100" s="7">
        <f t="shared" si="127"/>
        <v>14787.049276791577</v>
      </c>
      <c r="AS100" s="7">
        <f t="shared" si="127"/>
        <v>14639.178784023661</v>
      </c>
      <c r="AT100" s="7">
        <f t="shared" si="127"/>
        <v>14492.786996183424</v>
      </c>
      <c r="AU100" s="7">
        <f t="shared" si="127"/>
        <v>14347.85912622159</v>
      </c>
      <c r="AV100" s="7">
        <f t="shared" si="127"/>
        <v>14204.380534959375</v>
      </c>
      <c r="AW100" s="7">
        <f t="shared" si="127"/>
        <v>14062.33672960978</v>
      </c>
      <c r="AX100" s="7">
        <f t="shared" si="127"/>
        <v>13921.713362313683</v>
      </c>
      <c r="AY100" s="7">
        <f t="shared" si="127"/>
        <v>13782.496228690547</v>
      </c>
      <c r="AZ100" s="7">
        <f t="shared" si="127"/>
        <v>13644.67126640364</v>
      </c>
      <c r="BA100" s="7">
        <f t="shared" si="127"/>
        <v>13508.224553739605</v>
      </c>
      <c r="BB100" s="7">
        <f t="shared" si="127"/>
        <v>13373.142308202208</v>
      </c>
      <c r="BC100" s="7">
        <f t="shared" si="127"/>
        <v>13239.410885120185</v>
      </c>
      <c r="BD100" s="7">
        <f t="shared" si="127"/>
        <v>13107.016776268983</v>
      </c>
      <c r="BE100" s="7">
        <f t="shared" si="127"/>
        <v>12975.946608506294</v>
      </c>
      <c r="BF100" s="7">
        <f t="shared" si="127"/>
        <v>12846.187142421231</v>
      </c>
      <c r="BG100" s="7">
        <f t="shared" si="127"/>
        <v>12717.725270997018</v>
      </c>
      <c r="BH100" s="7">
        <f t="shared" si="127"/>
        <v>12590.548018287047</v>
      </c>
      <c r="BI100" s="7">
        <f t="shared" si="127"/>
        <v>12464.642538104177</v>
      </c>
      <c r="BJ100" s="7">
        <f t="shared" si="127"/>
        <v>12339.996112723135</v>
      </c>
      <c r="BK100" s="7">
        <f t="shared" si="127"/>
        <v>12216.596151595902</v>
      </c>
      <c r="BL100" s="7">
        <f t="shared" si="127"/>
        <v>12094.430190079944</v>
      </c>
      <c r="BM100" s="7">
        <f t="shared" si="127"/>
        <v>11973.485888179144</v>
      </c>
      <c r="BN100" s="7">
        <f t="shared" si="127"/>
        <v>11853.751029297353</v>
      </c>
      <c r="BO100" s="7">
        <f t="shared" si="127"/>
        <v>11735.213519004379</v>
      </c>
      <c r="BP100" s="7">
        <f t="shared" si="127"/>
        <v>11617.861383814336</v>
      </c>
      <c r="BQ100" s="7">
        <f t="shared" si="127"/>
        <v>11501.682769976193</v>
      </c>
      <c r="BR100" s="7">
        <f t="shared" si="127"/>
        <v>11386.66594227643</v>
      </c>
      <c r="BS100" s="7">
        <f t="shared" si="127"/>
        <v>11272.799282853664</v>
      </c>
      <c r="BT100" s="7">
        <f t="shared" si="127"/>
        <v>11160.071290025127</v>
      </c>
      <c r="BU100" s="7">
        <f t="shared" si="127"/>
        <v>11048.470577124875</v>
      </c>
      <c r="BV100" s="7">
        <f t="shared" si="127"/>
        <v>10937.985871353627</v>
      </c>
      <c r="BW100" s="7">
        <f t="shared" si="127"/>
        <v>10828.60601264009</v>
      </c>
      <c r="BX100" s="7">
        <f t="shared" si="127"/>
        <v>10720.31995251369</v>
      </c>
      <c r="BY100" s="7">
        <f t="shared" si="127"/>
        <v>10613.116752988553</v>
      </c>
      <c r="BZ100" s="7">
        <f t="shared" si="127"/>
        <v>10506.985585458668</v>
      </c>
      <c r="CA100" s="7">
        <f t="shared" si="127"/>
        <v>10401.915729604081</v>
      </c>
      <c r="CB100" s="7">
        <f t="shared" si="127"/>
        <v>10297.89657230804</v>
      </c>
      <c r="CC100" s="7">
        <f t="shared" si="127"/>
        <v>10194.917606584959</v>
      </c>
      <c r="CD100" s="7">
        <f t="shared" si="127"/>
        <v>10092.968430519109</v>
      </c>
      <c r="CE100" s="7">
        <f t="shared" si="127"/>
        <v>9992.0387462139188</v>
      </c>
      <c r="CF100" s="7">
        <f t="shared" si="127"/>
        <v>9892.1183587517789</v>
      </c>
      <c r="CG100" s="7">
        <f t="shared" si="127"/>
        <v>9793.1971751642614</v>
      </c>
      <c r="CH100" s="7">
        <f t="shared" si="127"/>
        <v>9695.2652034126186</v>
      </c>
      <c r="CI100" s="7">
        <f t="shared" si="127"/>
        <v>9598.3125513784926</v>
      </c>
      <c r="CJ100" s="7">
        <f t="shared" si="127"/>
        <v>9502.3294258647074</v>
      </c>
      <c r="CK100" s="7">
        <f t="shared" si="127"/>
        <v>9407.3061316060612</v>
      </c>
      <c r="CL100" s="7">
        <f t="shared" ref="CL100:DR100" si="128">CK100*(1+$AA$90)</f>
        <v>9313.2330702899999</v>
      </c>
      <c r="CM100" s="7">
        <f t="shared" si="128"/>
        <v>9220.1007395871002</v>
      </c>
      <c r="CN100" s="7">
        <f t="shared" si="128"/>
        <v>9127.8997321912284</v>
      </c>
      <c r="CO100" s="7">
        <f t="shared" si="128"/>
        <v>9036.6207348693151</v>
      </c>
      <c r="CP100" s="7">
        <f t="shared" si="128"/>
        <v>8946.2545275206212</v>
      </c>
      <c r="CQ100" s="7">
        <f t="shared" si="128"/>
        <v>8856.7919822454151</v>
      </c>
      <c r="CR100" s="7">
        <f t="shared" si="128"/>
        <v>8768.2240624229617</v>
      </c>
      <c r="CS100" s="7">
        <f t="shared" si="128"/>
        <v>8680.5418217987317</v>
      </c>
      <c r="CT100" s="7">
        <f t="shared" si="128"/>
        <v>8593.7364035807441</v>
      </c>
      <c r="CU100" s="7">
        <f t="shared" si="128"/>
        <v>8507.799039544936</v>
      </c>
      <c r="CV100" s="7">
        <f t="shared" si="128"/>
        <v>8422.7210491494861</v>
      </c>
      <c r="CW100" s="7">
        <f t="shared" si="128"/>
        <v>8338.4938386579906</v>
      </c>
      <c r="CX100" s="7">
        <f t="shared" si="128"/>
        <v>8255.1089002714107</v>
      </c>
      <c r="CY100" s="7">
        <f t="shared" si="128"/>
        <v>8172.5578112686962</v>
      </c>
      <c r="CZ100" s="7">
        <f t="shared" si="128"/>
        <v>8090.8322331560094</v>
      </c>
      <c r="DA100" s="7">
        <f t="shared" si="128"/>
        <v>8009.9239108244492</v>
      </c>
      <c r="DB100" s="7">
        <f t="shared" si="128"/>
        <v>7929.8246717162046</v>
      </c>
      <c r="DC100" s="7">
        <f t="shared" si="128"/>
        <v>7850.5264249990423</v>
      </c>
      <c r="DD100" s="7">
        <f t="shared" si="128"/>
        <v>7772.0211607490519</v>
      </c>
      <c r="DE100" s="7">
        <f t="shared" si="128"/>
        <v>7694.3009491415614</v>
      </c>
      <c r="DF100" s="7">
        <f t="shared" si="128"/>
        <v>7617.3579396501455</v>
      </c>
      <c r="DG100" s="7">
        <f t="shared" si="128"/>
        <v>7541.1843602536437</v>
      </c>
      <c r="DH100" s="7">
        <f t="shared" si="128"/>
        <v>7465.7725166511073</v>
      </c>
      <c r="DI100" s="7">
        <f t="shared" si="128"/>
        <v>7391.114791484596</v>
      </c>
      <c r="DJ100" s="7">
        <f t="shared" si="128"/>
        <v>7317.2036435697501</v>
      </c>
      <c r="DK100" s="7">
        <f t="shared" si="128"/>
        <v>7244.0316071340521</v>
      </c>
      <c r="DL100" s="7">
        <f t="shared" si="128"/>
        <v>7171.5912910627112</v>
      </c>
      <c r="DM100" s="7">
        <f t="shared" si="128"/>
        <v>7099.8753781520836</v>
      </c>
      <c r="DN100" s="7">
        <f t="shared" si="128"/>
        <v>7028.8766243705631</v>
      </c>
      <c r="DO100" s="7">
        <f t="shared" si="128"/>
        <v>6958.5878581268571</v>
      </c>
      <c r="DP100" s="7">
        <f t="shared" si="128"/>
        <v>6889.0019795455883</v>
      </c>
      <c r="DQ100" s="7">
        <f t="shared" si="128"/>
        <v>6820.111959750132</v>
      </c>
      <c r="DR100" s="7">
        <f t="shared" si="128"/>
        <v>6751.910840152631</v>
      </c>
    </row>
  </sheetData>
  <hyperlinks>
    <hyperlink ref="A1" location="main!A1" display="Main" xr:uid="{D4E581E8-8CAC-4067-89C0-80183D58C31D}"/>
  </hyperlink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R</dc:creator>
  <cp:lastModifiedBy>Liam R</cp:lastModifiedBy>
  <dcterms:created xsi:type="dcterms:W3CDTF">2025-05-10T05:24:51Z</dcterms:created>
  <dcterms:modified xsi:type="dcterms:W3CDTF">2025-07-25T07:04:28Z</dcterms:modified>
</cp:coreProperties>
</file>