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8EE5BED4-95E5-44C0-ADD6-0980D53D4226}" xr6:coauthVersionLast="47" xr6:coauthVersionMax="47" xr10:uidLastSave="{00000000-0000-0000-0000-000000000000}"/>
  <bookViews>
    <workbookView xWindow="1425" yWindow="1185" windowWidth="23595" windowHeight="13935" activeTab="1" xr2:uid="{87F9C278-582D-4F12-A964-BB568CD74D2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2" l="1"/>
  <c r="Q2" i="2" s="1"/>
  <c r="R2" i="2" s="1"/>
  <c r="S2" i="2" s="1"/>
  <c r="S18" i="2" s="1"/>
  <c r="O2" i="2"/>
  <c r="N6" i="2"/>
  <c r="O6" i="2" s="1"/>
  <c r="P6" i="2" s="1"/>
  <c r="Q6" i="2" s="1"/>
  <c r="R6" i="2" s="1"/>
  <c r="S6" i="2" s="1"/>
  <c r="N5" i="2"/>
  <c r="O5" i="2" s="1"/>
  <c r="P5" i="2" s="1"/>
  <c r="Q5" i="2" s="1"/>
  <c r="R5" i="2" s="1"/>
  <c r="S5" i="2" s="1"/>
  <c r="N7" i="2"/>
  <c r="O7" i="2" s="1"/>
  <c r="P7" i="2" s="1"/>
  <c r="Q7" i="2" s="1"/>
  <c r="R7" i="2" s="1"/>
  <c r="S7" i="2" s="1"/>
  <c r="P6" i="1"/>
  <c r="P5" i="1"/>
  <c r="M24" i="2"/>
  <c r="M25" i="2" s="1"/>
  <c r="L24" i="2"/>
  <c r="L25" i="2" s="1"/>
  <c r="K24" i="2"/>
  <c r="K25" i="2" s="1"/>
  <c r="N18" i="2"/>
  <c r="L18" i="2"/>
  <c r="M18" i="2"/>
  <c r="L8" i="2"/>
  <c r="M8" i="2"/>
  <c r="K8" i="2"/>
  <c r="L4" i="2"/>
  <c r="L20" i="2" s="1"/>
  <c r="M4" i="2"/>
  <c r="M20" i="2" s="1"/>
  <c r="N20" i="2" s="1"/>
  <c r="O20" i="2" s="1"/>
  <c r="P20" i="2" s="1"/>
  <c r="Q20" i="2" s="1"/>
  <c r="R20" i="2" s="1"/>
  <c r="S20" i="2" s="1"/>
  <c r="K4" i="2"/>
  <c r="K20" i="2" s="1"/>
  <c r="M31" i="2"/>
  <c r="M29" i="2"/>
  <c r="E31" i="2"/>
  <c r="E29" i="2"/>
  <c r="E27" i="2" s="1"/>
  <c r="J1" i="2"/>
  <c r="K1" i="2" s="1"/>
  <c r="L1" i="2" s="1"/>
  <c r="M1" i="2" s="1"/>
  <c r="N1" i="2" s="1"/>
  <c r="O1" i="2" s="1"/>
  <c r="P1" i="2" s="1"/>
  <c r="Q1" i="2" s="1"/>
  <c r="R1" i="2" s="1"/>
  <c r="S1" i="2" s="1"/>
  <c r="P4" i="1"/>
  <c r="S3" i="2" l="1"/>
  <c r="S4" i="2" s="1"/>
  <c r="P7" i="1"/>
  <c r="O18" i="2"/>
  <c r="N8" i="2"/>
  <c r="K9" i="2"/>
  <c r="L9" i="2"/>
  <c r="M9" i="2"/>
  <c r="M27" i="2"/>
  <c r="N11" i="2" s="1"/>
  <c r="P18" i="2"/>
  <c r="O3" i="2"/>
  <c r="O4" i="2" s="1"/>
  <c r="N3" i="2"/>
  <c r="N4" i="2" s="1"/>
  <c r="N9" i="2" l="1"/>
  <c r="M12" i="2"/>
  <c r="M21" i="2"/>
  <c r="K12" i="2"/>
  <c r="K21" i="2"/>
  <c r="L12" i="2"/>
  <c r="L21" i="2"/>
  <c r="N12" i="2"/>
  <c r="N21" i="2"/>
  <c r="L14" i="2"/>
  <c r="M14" i="2"/>
  <c r="K14" i="2"/>
  <c r="O8" i="2"/>
  <c r="O9" i="2" s="1"/>
  <c r="P3" i="2"/>
  <c r="P4" i="2" s="1"/>
  <c r="Q18" i="2"/>
  <c r="N13" i="2" l="1"/>
  <c r="N14" i="2" s="1"/>
  <c r="O21" i="2"/>
  <c r="K16" i="2"/>
  <c r="K26" i="2"/>
  <c r="M16" i="2"/>
  <c r="P8" i="1" s="1"/>
  <c r="M26" i="2"/>
  <c r="L16" i="2"/>
  <c r="L26" i="2"/>
  <c r="P8" i="2"/>
  <c r="P9" i="2" s="1"/>
  <c r="P21" i="2" s="1"/>
  <c r="R18" i="2"/>
  <c r="Q3" i="2"/>
  <c r="Q4" i="2" s="1"/>
  <c r="N16" i="2" l="1"/>
  <c r="N25" i="2"/>
  <c r="N27" i="2"/>
  <c r="O11" i="2" s="1"/>
  <c r="O12" i="2" s="1"/>
  <c r="Q8" i="2"/>
  <c r="Q9" i="2" s="1"/>
  <c r="Q21" i="2" s="1"/>
  <c r="R3" i="2"/>
  <c r="R4" i="2" s="1"/>
  <c r="S8" i="2" l="1"/>
  <c r="S9" i="2" s="1"/>
  <c r="S21" i="2" s="1"/>
  <c r="O13" i="2"/>
  <c r="O14" i="2" s="1"/>
  <c r="R8" i="2"/>
  <c r="R9" i="2" s="1"/>
  <c r="R21" i="2" s="1"/>
  <c r="O16" i="2" l="1"/>
  <c r="O27" i="2"/>
  <c r="P11" i="2" s="1"/>
  <c r="P12" i="2" s="1"/>
  <c r="O25" i="2"/>
  <c r="P13" i="2" l="1"/>
  <c r="P14" i="2" s="1"/>
  <c r="P16" i="2" l="1"/>
  <c r="P27" i="2"/>
  <c r="Q11" i="2" s="1"/>
  <c r="Q12" i="2" s="1"/>
  <c r="P25" i="2"/>
  <c r="Q13" i="2" l="1"/>
  <c r="Q14" i="2" s="1"/>
  <c r="Q16" i="2" l="1"/>
  <c r="Q27" i="2"/>
  <c r="R11" i="2" s="1"/>
  <c r="R12" i="2" s="1"/>
  <c r="Q25" i="2"/>
  <c r="R13" i="2" l="1"/>
  <c r="R14" i="2" s="1"/>
  <c r="R16" i="2" l="1"/>
  <c r="R25" i="2"/>
  <c r="R27" i="2"/>
  <c r="S11" i="2" l="1"/>
  <c r="S12" i="2" s="1"/>
  <c r="S13" i="2" s="1"/>
  <c r="S14" i="2" s="1"/>
  <c r="S25" i="2" s="1"/>
  <c r="T25" i="2" s="1"/>
  <c r="U25" i="2" s="1"/>
  <c r="V25" i="2" s="1"/>
  <c r="W25" i="2" s="1"/>
  <c r="X25" i="2" s="1"/>
  <c r="Y25" i="2" s="1"/>
  <c r="Z25" i="2" s="1"/>
  <c r="AA25" i="2" s="1"/>
  <c r="AB25" i="2" s="1"/>
  <c r="AC25" i="2" s="1"/>
  <c r="AD25" i="2" s="1"/>
  <c r="AE25" i="2" s="1"/>
  <c r="AF25" i="2" s="1"/>
  <c r="AG25" i="2" s="1"/>
  <c r="AH25" i="2" s="1"/>
  <c r="AI25" i="2" s="1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Y25" i="2" s="1"/>
  <c r="AZ25" i="2" s="1"/>
  <c r="BA25" i="2" s="1"/>
  <c r="BB25" i="2" s="1"/>
  <c r="BC25" i="2" s="1"/>
  <c r="BD25" i="2" s="1"/>
  <c r="BE25" i="2" s="1"/>
  <c r="BF25" i="2" s="1"/>
  <c r="BG25" i="2" s="1"/>
  <c r="BH25" i="2" s="1"/>
  <c r="BI25" i="2" s="1"/>
  <c r="BJ25" i="2" s="1"/>
  <c r="BK25" i="2" s="1"/>
  <c r="BL25" i="2" s="1"/>
  <c r="BM25" i="2" s="1"/>
  <c r="BN25" i="2" s="1"/>
  <c r="BO25" i="2" s="1"/>
  <c r="BP25" i="2" s="1"/>
  <c r="BQ25" i="2" s="1"/>
  <c r="BR25" i="2" s="1"/>
  <c r="BS25" i="2" s="1"/>
  <c r="BT25" i="2" s="1"/>
  <c r="BU25" i="2" s="1"/>
  <c r="BV25" i="2" s="1"/>
  <c r="BW25" i="2" s="1"/>
  <c r="BX25" i="2" s="1"/>
  <c r="BY25" i="2" s="1"/>
  <c r="BZ25" i="2" s="1"/>
  <c r="CA25" i="2" s="1"/>
  <c r="CB25" i="2" s="1"/>
  <c r="CC25" i="2" s="1"/>
  <c r="CD25" i="2" s="1"/>
  <c r="CE25" i="2" s="1"/>
  <c r="CF25" i="2" s="1"/>
  <c r="CG25" i="2" s="1"/>
  <c r="CH25" i="2" s="1"/>
  <c r="CI25" i="2" s="1"/>
  <c r="CJ25" i="2" s="1"/>
  <c r="CK25" i="2" s="1"/>
  <c r="CL25" i="2" s="1"/>
  <c r="CM25" i="2" s="1"/>
  <c r="CN25" i="2" s="1"/>
  <c r="CO25" i="2" s="1"/>
  <c r="CP25" i="2" s="1"/>
  <c r="CQ25" i="2" s="1"/>
  <c r="CR25" i="2" s="1"/>
  <c r="CS25" i="2" s="1"/>
  <c r="CT25" i="2" s="1"/>
  <c r="CU25" i="2" s="1"/>
  <c r="CV25" i="2" s="1"/>
  <c r="CW25" i="2" s="1"/>
  <c r="CX25" i="2" s="1"/>
  <c r="CY25" i="2" s="1"/>
  <c r="CZ25" i="2" s="1"/>
  <c r="DA25" i="2" s="1"/>
  <c r="DB25" i="2" s="1"/>
  <c r="DC25" i="2" s="1"/>
  <c r="DD25" i="2" s="1"/>
  <c r="DE25" i="2" s="1"/>
  <c r="DF25" i="2" s="1"/>
  <c r="DG25" i="2" s="1"/>
  <c r="DH25" i="2" s="1"/>
  <c r="DI25" i="2" s="1"/>
  <c r="DJ25" i="2" s="1"/>
  <c r="DK25" i="2" s="1"/>
  <c r="DL25" i="2" s="1"/>
  <c r="DM25" i="2" s="1"/>
  <c r="DN25" i="2" s="1"/>
  <c r="V20" i="2" s="1"/>
  <c r="V21" i="2" s="1"/>
  <c r="V22" i="2" s="1"/>
  <c r="S27" i="2" l="1"/>
  <c r="S16" i="2"/>
  <c r="T14" i="2"/>
  <c r="U14" i="2" s="1"/>
  <c r="V14" i="2" s="1"/>
  <c r="W14" i="2" s="1"/>
  <c r="X14" i="2" s="1"/>
  <c r="Y14" i="2" s="1"/>
  <c r="Z14" i="2" s="1"/>
  <c r="AA14" i="2" s="1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BJ14" i="2" s="1"/>
  <c r="BK14" i="2" s="1"/>
  <c r="BL14" i="2" s="1"/>
  <c r="BM14" i="2" s="1"/>
  <c r="BN14" i="2" s="1"/>
  <c r="BO14" i="2" s="1"/>
  <c r="BP14" i="2" s="1"/>
  <c r="BQ14" i="2" s="1"/>
  <c r="BR14" i="2" s="1"/>
  <c r="BS14" i="2" s="1"/>
  <c r="BT14" i="2" s="1"/>
  <c r="BU14" i="2" s="1"/>
  <c r="BV14" i="2" s="1"/>
  <c r="BW14" i="2" s="1"/>
  <c r="BX14" i="2" s="1"/>
  <c r="BY14" i="2" s="1"/>
  <c r="BZ14" i="2" s="1"/>
  <c r="CA14" i="2" s="1"/>
  <c r="CB14" i="2" s="1"/>
  <c r="CC14" i="2" s="1"/>
  <c r="CD14" i="2" s="1"/>
  <c r="CE14" i="2" s="1"/>
  <c r="CF14" i="2" s="1"/>
  <c r="CG14" i="2" s="1"/>
  <c r="CH14" i="2" s="1"/>
  <c r="CI14" i="2" s="1"/>
  <c r="CJ14" i="2" s="1"/>
  <c r="CK14" i="2" s="1"/>
  <c r="CL14" i="2" s="1"/>
  <c r="CM14" i="2" s="1"/>
  <c r="CN14" i="2" s="1"/>
  <c r="CO14" i="2" s="1"/>
  <c r="CP14" i="2" s="1"/>
  <c r="CQ14" i="2" s="1"/>
  <c r="CR14" i="2" s="1"/>
  <c r="CS14" i="2" s="1"/>
  <c r="CT14" i="2" s="1"/>
  <c r="CU14" i="2" s="1"/>
  <c r="CV14" i="2" s="1"/>
  <c r="CW14" i="2" s="1"/>
  <c r="CX14" i="2" s="1"/>
  <c r="CY14" i="2" s="1"/>
  <c r="CZ14" i="2" s="1"/>
  <c r="DA14" i="2" s="1"/>
  <c r="DB14" i="2" s="1"/>
  <c r="DC14" i="2" s="1"/>
  <c r="DD14" i="2" s="1"/>
  <c r="DE14" i="2" s="1"/>
  <c r="DF14" i="2" s="1"/>
  <c r="DG14" i="2" s="1"/>
  <c r="DH14" i="2" s="1"/>
  <c r="DI14" i="2" s="1"/>
  <c r="DJ14" i="2" s="1"/>
  <c r="DK14" i="2" s="1"/>
  <c r="DL14" i="2" s="1"/>
  <c r="DM14" i="2" s="1"/>
  <c r="DN14" i="2" s="1"/>
</calcChain>
</file>

<file path=xl/sharedStrings.xml><?xml version="1.0" encoding="utf-8"?>
<sst xmlns="http://schemas.openxmlformats.org/spreadsheetml/2006/main" count="45" uniqueCount="37">
  <si>
    <t>Price</t>
  </si>
  <si>
    <t>Shares</t>
  </si>
  <si>
    <t>MC</t>
  </si>
  <si>
    <t>Cash</t>
  </si>
  <si>
    <t>Debt</t>
  </si>
  <si>
    <t>EV</t>
  </si>
  <si>
    <t>Q124</t>
  </si>
  <si>
    <t>Q224</t>
  </si>
  <si>
    <t>Q324</t>
  </si>
  <si>
    <t>Q424</t>
  </si>
  <si>
    <t>Revenue</t>
  </si>
  <si>
    <t>COGS</t>
  </si>
  <si>
    <t>Gross Profit</t>
  </si>
  <si>
    <t>S&amp;M</t>
  </si>
  <si>
    <t>R&amp;D</t>
  </si>
  <si>
    <t>G&amp;A</t>
  </si>
  <si>
    <t>OPEX</t>
  </si>
  <si>
    <t>Operating Income</t>
  </si>
  <si>
    <t>Interest Expense</t>
  </si>
  <si>
    <t>Interest &amp; Other</t>
  </si>
  <si>
    <t>Pretax Income</t>
  </si>
  <si>
    <t>Tax</t>
  </si>
  <si>
    <t>Net Income</t>
  </si>
  <si>
    <t>EPS</t>
  </si>
  <si>
    <t>Revenue Growth</t>
  </si>
  <si>
    <t>Gross Margin</t>
  </si>
  <si>
    <t>CFFO</t>
  </si>
  <si>
    <t>CX</t>
  </si>
  <si>
    <t>FCF</t>
  </si>
  <si>
    <t>Net Cash</t>
  </si>
  <si>
    <t>NPV</t>
  </si>
  <si>
    <t>Discount</t>
  </si>
  <si>
    <t>Maturity</t>
  </si>
  <si>
    <t>Diff</t>
  </si>
  <si>
    <t>ROIC</t>
  </si>
  <si>
    <t>Operating Margin</t>
  </si>
  <si>
    <t>Q125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</si>
</sst>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1" fillId="0" borderId="0" xfId="0" applyNumberFormat="1" applyFont="1"/>
    <xf numFmtId="1" fontId="1" fillId="0" borderId="0" xfId="0" applyNumberFormat="1" applyFont="1"/>
    <xf numFmtId="3" fontId="2" fillId="0" borderId="0" xfId="0" applyNumberFormat="1" applyFont="1"/>
    <xf numFmtId="9" fontId="1" fillId="0" borderId="0" xfId="0" applyNumberFormat="1" applyFont="1"/>
    <xf numFmtId="4" fontId="1" fillId="0" borderId="0" xfId="0" applyNumberFormat="1" applyFont="1"/>
    <xf numFmtId="10" fontId="1" fillId="0" borderId="0" xfId="0" applyNumberFormat="1" applyFont="1"/>
    <xf numFmtId="0" fontId="2" fillId="0" borderId="0" xfId="0" applyFont="1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588352</xdr:colOff>
      <xdr:row>0</xdr:row>
      <xdr:rowOff>35902</xdr:rowOff>
    </xdr:from>
    <xdr:to>
      <xdr:col>12</xdr:col>
      <xdr:colOff>597877</xdr:colOff>
      <xdr:row>38</xdr:row>
      <xdr:rowOff>8060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69897C9-C83C-A731-E028-620C89F7F952}"/>
            </a:ext>
          </a:extLst>
        </xdr:cNvPr>
        <xdr:cNvCxnSpPr/>
      </xdr:nvCxnSpPr>
      <xdr:spPr>
        <a:xfrm flipH="1">
          <a:off x="8398852" y="35902"/>
          <a:ext cx="9525" cy="625865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0</xdr:row>
      <xdr:rowOff>19050</xdr:rowOff>
    </xdr:from>
    <xdr:to>
      <xdr:col>5</xdr:col>
      <xdr:colOff>9525</xdr:colOff>
      <xdr:row>37</xdr:row>
      <xdr:rowOff>161925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5281F37C-EF7E-42A5-9FF3-19E8625C3390}"/>
            </a:ext>
          </a:extLst>
        </xdr:cNvPr>
        <xdr:cNvCxnSpPr/>
      </xdr:nvCxnSpPr>
      <xdr:spPr>
        <a:xfrm flipH="1">
          <a:off x="3048000" y="19050"/>
          <a:ext cx="9525" cy="70008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4D5C2-B026-4303-AE35-0CC5202B93AC}">
  <dimension ref="A1:Q8"/>
  <sheetViews>
    <sheetView topLeftCell="I1" zoomScale="115" zoomScaleNormal="115" workbookViewId="0">
      <selection activeCell="P8" sqref="P8"/>
    </sheetView>
  </sheetViews>
  <sheetFormatPr defaultRowHeight="12.75" x14ac:dyDescent="0.2"/>
  <cols>
    <col min="1" max="16384" width="9.140625" style="8"/>
  </cols>
  <sheetData>
    <row r="1" spans="1:17" x14ac:dyDescent="0.2">
      <c r="A1" s="7"/>
    </row>
    <row r="2" spans="1:17" x14ac:dyDescent="0.2">
      <c r="O2" s="8" t="s">
        <v>0</v>
      </c>
      <c r="P2" s="5">
        <v>1253</v>
      </c>
    </row>
    <row r="3" spans="1:17" x14ac:dyDescent="0.2">
      <c r="O3" s="8" t="s">
        <v>1</v>
      </c>
      <c r="P3" s="1">
        <v>425.6832</v>
      </c>
      <c r="Q3" s="8" t="s">
        <v>36</v>
      </c>
    </row>
    <row r="4" spans="1:17" x14ac:dyDescent="0.2">
      <c r="O4" s="8" t="s">
        <v>2</v>
      </c>
      <c r="P4" s="1">
        <f>P3*P2</f>
        <v>533381.04960000003</v>
      </c>
    </row>
    <row r="5" spans="1:17" x14ac:dyDescent="0.2">
      <c r="O5" s="8" t="s">
        <v>3</v>
      </c>
      <c r="P5" s="1">
        <f>7119.84+1171.1</f>
        <v>8290.94</v>
      </c>
      <c r="Q5" s="8" t="s">
        <v>36</v>
      </c>
    </row>
    <row r="6" spans="1:17" x14ac:dyDescent="0.2">
      <c r="O6" s="8" t="s">
        <v>4</v>
      </c>
      <c r="P6" s="1">
        <f>14011+2633.3+1697</f>
        <v>18341.3</v>
      </c>
      <c r="Q6" s="8" t="s">
        <v>36</v>
      </c>
    </row>
    <row r="7" spans="1:17" x14ac:dyDescent="0.2">
      <c r="O7" s="8" t="s">
        <v>5</v>
      </c>
      <c r="P7" s="1">
        <f>P4+P6-P5</f>
        <v>543431.40960000013</v>
      </c>
    </row>
    <row r="8" spans="1:17" x14ac:dyDescent="0.2">
      <c r="P8" s="9">
        <f>P2/Model!M16</f>
        <v>61.702174062765444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AC2DB-D73B-4DDE-B84C-DD792E845260}">
  <dimension ref="A1:DN31"/>
  <sheetViews>
    <sheetView tabSelected="1" zoomScale="130" zoomScaleNormal="130"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T14" sqref="T14"/>
    </sheetView>
  </sheetViews>
  <sheetFormatPr defaultRowHeight="12.75" x14ac:dyDescent="0.2"/>
  <cols>
    <col min="1" max="1" width="16.85546875" style="1" customWidth="1"/>
    <col min="2" max="16384" width="9.140625" style="1"/>
  </cols>
  <sheetData>
    <row r="1" spans="1:118" x14ac:dyDescent="0.2">
      <c r="B1" s="1" t="s">
        <v>6</v>
      </c>
      <c r="C1" s="1" t="s">
        <v>7</v>
      </c>
      <c r="D1" s="1" t="s">
        <v>8</v>
      </c>
      <c r="E1" s="1" t="s">
        <v>9</v>
      </c>
      <c r="F1" s="1" t="s">
        <v>6</v>
      </c>
      <c r="G1" s="1" t="s">
        <v>7</v>
      </c>
      <c r="I1" s="2">
        <v>2020</v>
      </c>
      <c r="J1" s="2">
        <f>I1+1</f>
        <v>2021</v>
      </c>
      <c r="K1" s="2">
        <f t="shared" ref="K1:S1" si="0">J1+1</f>
        <v>2022</v>
      </c>
      <c r="L1" s="2">
        <f t="shared" si="0"/>
        <v>2023</v>
      </c>
      <c r="M1" s="2">
        <f t="shared" si="0"/>
        <v>2024</v>
      </c>
      <c r="N1" s="2">
        <f t="shared" si="0"/>
        <v>2025</v>
      </c>
      <c r="O1" s="2">
        <f t="shared" si="0"/>
        <v>2026</v>
      </c>
      <c r="P1" s="2">
        <f t="shared" si="0"/>
        <v>2027</v>
      </c>
      <c r="Q1" s="2">
        <f t="shared" si="0"/>
        <v>2028</v>
      </c>
      <c r="R1" s="2">
        <f t="shared" si="0"/>
        <v>2029</v>
      </c>
      <c r="S1" s="2">
        <f t="shared" si="0"/>
        <v>2030</v>
      </c>
      <c r="T1" s="2"/>
      <c r="U1" s="2"/>
      <c r="V1" s="2"/>
      <c r="W1" s="2"/>
    </row>
    <row r="2" spans="1:118" s="3" customFormat="1" x14ac:dyDescent="0.2">
      <c r="A2" s="3" t="s">
        <v>10</v>
      </c>
      <c r="K2" s="3">
        <v>31615.5</v>
      </c>
      <c r="L2" s="3">
        <v>33723.300000000003</v>
      </c>
      <c r="M2" s="3">
        <v>39000</v>
      </c>
      <c r="N2" s="3">
        <v>46000</v>
      </c>
      <c r="O2" s="3">
        <f>N2*1.16</f>
        <v>53359.999999999993</v>
      </c>
      <c r="P2" s="3">
        <f t="shared" ref="P2:S2" si="1">O2*1.16</f>
        <v>61897.599999999984</v>
      </c>
      <c r="Q2" s="3">
        <f t="shared" si="1"/>
        <v>71801.215999999971</v>
      </c>
      <c r="R2" s="3">
        <f t="shared" si="1"/>
        <v>83289.41055999996</v>
      </c>
      <c r="S2" s="3">
        <f t="shared" si="1"/>
        <v>96615.716249599951</v>
      </c>
    </row>
    <row r="3" spans="1:118" x14ac:dyDescent="0.2">
      <c r="A3" s="1" t="s">
        <v>11</v>
      </c>
      <c r="K3" s="1">
        <v>19168.2</v>
      </c>
      <c r="L3" s="1">
        <v>19715.3</v>
      </c>
      <c r="M3" s="1">
        <v>21038.400000000001</v>
      </c>
      <c r="N3" s="1">
        <f t="shared" ref="N3:S3" si="2">N2*(1-N20)</f>
        <v>24390.813538461545</v>
      </c>
      <c r="O3" s="1">
        <f t="shared" si="2"/>
        <v>27792.01057870769</v>
      </c>
      <c r="P3" s="1">
        <f t="shared" si="2"/>
        <v>31645.554916726938</v>
      </c>
      <c r="Q3" s="1">
        <f t="shared" si="2"/>
        <v>36006.996257471299</v>
      </c>
      <c r="R3" s="1">
        <f t="shared" si="2"/>
        <v>40937.689760640045</v>
      </c>
      <c r="S3" s="1">
        <f t="shared" si="2"/>
        <v>46505.160199797298</v>
      </c>
    </row>
    <row r="4" spans="1:118" x14ac:dyDescent="0.2">
      <c r="A4" s="1" t="s">
        <v>12</v>
      </c>
      <c r="G4" s="4"/>
      <c r="K4" s="1">
        <f>K2-K3</f>
        <v>12447.3</v>
      </c>
      <c r="L4" s="1">
        <f t="shared" ref="L4:M4" si="3">L2-L3</f>
        <v>14008.000000000004</v>
      </c>
      <c r="M4" s="1">
        <f t="shared" si="3"/>
        <v>17961.599999999999</v>
      </c>
      <c r="N4" s="1">
        <f t="shared" ref="N4" si="4">N2-N3</f>
        <v>21609.186461538455</v>
      </c>
      <c r="O4" s="1">
        <f t="shared" ref="O4" si="5">O2-O3</f>
        <v>25567.989421292303</v>
      </c>
      <c r="P4" s="1">
        <f t="shared" ref="P4" si="6">P2-P3</f>
        <v>30252.045083273046</v>
      </c>
      <c r="Q4" s="1">
        <f t="shared" ref="Q4" si="7">Q2-Q3</f>
        <v>35794.219742528672</v>
      </c>
      <c r="R4" s="1">
        <f t="shared" ref="R4:S4" si="8">R2-R3</f>
        <v>42351.720799359915</v>
      </c>
      <c r="S4" s="1">
        <f t="shared" si="8"/>
        <v>50110.556049802653</v>
      </c>
    </row>
    <row r="5" spans="1:118" x14ac:dyDescent="0.2">
      <c r="A5" s="1" t="s">
        <v>13</v>
      </c>
      <c r="K5" s="1">
        <v>2530.5</v>
      </c>
      <c r="L5" s="1">
        <v>2657.8</v>
      </c>
      <c r="M5" s="1">
        <v>2917.5</v>
      </c>
      <c r="N5" s="1">
        <f>M5*1.1</f>
        <v>3209.2500000000005</v>
      </c>
      <c r="O5" s="1">
        <f t="shared" ref="O5:S5" si="9">N5*1.1</f>
        <v>3530.1750000000006</v>
      </c>
      <c r="P5" s="1">
        <f t="shared" si="9"/>
        <v>3883.192500000001</v>
      </c>
      <c r="Q5" s="1">
        <f t="shared" si="9"/>
        <v>4271.5117500000015</v>
      </c>
      <c r="R5" s="1">
        <f t="shared" si="9"/>
        <v>4698.6629250000024</v>
      </c>
      <c r="S5" s="1">
        <f t="shared" si="9"/>
        <v>5168.5292175000031</v>
      </c>
    </row>
    <row r="6" spans="1:118" x14ac:dyDescent="0.2">
      <c r="A6" s="1" t="s">
        <v>14</v>
      </c>
      <c r="K6" s="1">
        <v>2711</v>
      </c>
      <c r="L6" s="1">
        <v>2675</v>
      </c>
      <c r="M6" s="1">
        <v>2925</v>
      </c>
      <c r="N6" s="1">
        <f>M6*1.1</f>
        <v>3217.5000000000005</v>
      </c>
      <c r="O6" s="1">
        <f t="shared" ref="O6:S6" si="10">N6*1.1</f>
        <v>3539.2500000000009</v>
      </c>
      <c r="P6" s="1">
        <f t="shared" si="10"/>
        <v>3893.1750000000011</v>
      </c>
      <c r="Q6" s="1">
        <f t="shared" si="10"/>
        <v>4282.4925000000012</v>
      </c>
      <c r="R6" s="1">
        <f t="shared" si="10"/>
        <v>4710.741750000002</v>
      </c>
      <c r="S6" s="1">
        <f t="shared" si="10"/>
        <v>5181.8159250000026</v>
      </c>
    </row>
    <row r="7" spans="1:118" x14ac:dyDescent="0.2">
      <c r="A7" s="1" t="s">
        <v>15</v>
      </c>
      <c r="K7" s="1">
        <v>1562</v>
      </c>
      <c r="L7" s="1">
        <v>1720</v>
      </c>
      <c r="M7" s="1">
        <v>1702</v>
      </c>
      <c r="N7" s="1">
        <f>M7*1.09</f>
        <v>1855.18</v>
      </c>
      <c r="O7" s="1">
        <f t="shared" ref="O7:S7" si="11">N7*1.09</f>
        <v>2022.1462000000001</v>
      </c>
      <c r="P7" s="1">
        <f t="shared" si="11"/>
        <v>2204.1393580000004</v>
      </c>
      <c r="Q7" s="1">
        <f t="shared" si="11"/>
        <v>2402.5119002200004</v>
      </c>
      <c r="R7" s="1">
        <f t="shared" si="11"/>
        <v>2618.7379712398006</v>
      </c>
      <c r="S7" s="1">
        <f t="shared" si="11"/>
        <v>2854.4243886513827</v>
      </c>
    </row>
    <row r="8" spans="1:118" x14ac:dyDescent="0.2">
      <c r="A8" s="1" t="s">
        <v>16</v>
      </c>
      <c r="K8" s="1">
        <f>SUM(K5:K7)</f>
        <v>6803.5</v>
      </c>
      <c r="L8" s="1">
        <f t="shared" ref="L8:M8" si="12">SUM(L5:L7)</f>
        <v>7052.8</v>
      </c>
      <c r="M8" s="1">
        <f t="shared" si="12"/>
        <v>7544.5</v>
      </c>
      <c r="N8" s="1">
        <f t="shared" ref="N8" si="13">SUM(N5:N7)</f>
        <v>8281.93</v>
      </c>
      <c r="O8" s="1">
        <f t="shared" ref="O8" si="14">SUM(O5:O7)</f>
        <v>9091.5712000000021</v>
      </c>
      <c r="P8" s="1">
        <f t="shared" ref="P8" si="15">SUM(P5:P7)</f>
        <v>9980.5068580000025</v>
      </c>
      <c r="Q8" s="1">
        <f t="shared" ref="Q8" si="16">SUM(Q5:Q7)</f>
        <v>10956.516150220003</v>
      </c>
      <c r="R8" s="1">
        <f t="shared" ref="R8:S8" si="17">SUM(R5:R7)</f>
        <v>12028.142646239805</v>
      </c>
      <c r="S8" s="1">
        <f t="shared" si="17"/>
        <v>13204.769531151389</v>
      </c>
    </row>
    <row r="9" spans="1:118" x14ac:dyDescent="0.2">
      <c r="A9" s="1" t="s">
        <v>17</v>
      </c>
      <c r="K9" s="1">
        <f>K4-K8</f>
        <v>5643.7999999999993</v>
      </c>
      <c r="L9" s="1">
        <f t="shared" ref="L9:M9" si="18">L4-L8</f>
        <v>6955.2000000000035</v>
      </c>
      <c r="M9" s="1">
        <f t="shared" si="18"/>
        <v>10417.099999999999</v>
      </c>
      <c r="N9" s="1">
        <f t="shared" ref="N9" si="19">N4-N8</f>
        <v>13327.256461538454</v>
      </c>
      <c r="O9" s="1">
        <f t="shared" ref="O9" si="20">O4-O8</f>
        <v>16476.418221292301</v>
      </c>
      <c r="P9" s="1">
        <f t="shared" ref="P9" si="21">P4-P8</f>
        <v>20271.538225273041</v>
      </c>
      <c r="Q9" s="1">
        <f t="shared" ref="Q9" si="22">Q4-Q8</f>
        <v>24837.70359230867</v>
      </c>
      <c r="R9" s="1">
        <f t="shared" ref="R9:S9" si="23">R4-R8</f>
        <v>30323.57815312011</v>
      </c>
      <c r="S9" s="1">
        <f t="shared" si="23"/>
        <v>36905.786518651264</v>
      </c>
    </row>
    <row r="10" spans="1:118" x14ac:dyDescent="0.2">
      <c r="A10" s="1" t="s">
        <v>18</v>
      </c>
      <c r="K10" s="1">
        <v>-706</v>
      </c>
      <c r="L10" s="1">
        <v>-699</v>
      </c>
      <c r="M10" s="1">
        <v>-718</v>
      </c>
    </row>
    <row r="11" spans="1:118" x14ac:dyDescent="0.2">
      <c r="A11" s="1" t="s">
        <v>19</v>
      </c>
      <c r="K11" s="1">
        <v>337</v>
      </c>
      <c r="L11" s="1">
        <v>-48</v>
      </c>
      <c r="M11" s="1">
        <v>266.7</v>
      </c>
      <c r="N11" s="1">
        <f>M27*$V$17</f>
        <v>-170.95199999999997</v>
      </c>
      <c r="O11" s="1">
        <f>N27*$V$17</f>
        <v>39.548871384615303</v>
      </c>
      <c r="P11" s="1">
        <f>O27*$V$17</f>
        <v>303.80434486744599</v>
      </c>
      <c r="Q11" s="1">
        <f>P27*$V$17</f>
        <v>633.00982598969381</v>
      </c>
      <c r="R11" s="1">
        <f>Q27*$V$17</f>
        <v>1040.5412406824676</v>
      </c>
      <c r="S11" s="1">
        <f>R27*$V$17</f>
        <v>1542.3671509833091</v>
      </c>
    </row>
    <row r="12" spans="1:118" x14ac:dyDescent="0.2">
      <c r="A12" s="1" t="s">
        <v>20</v>
      </c>
      <c r="K12" s="1">
        <f>K9+SUM(K10:K11)</f>
        <v>5274.7999999999993</v>
      </c>
      <c r="L12" s="1">
        <f t="shared" ref="L12:M12" si="24">L9+SUM(L10:L11)</f>
        <v>6208.2000000000035</v>
      </c>
      <c r="M12" s="1">
        <f t="shared" si="24"/>
        <v>9965.7999999999993</v>
      </c>
      <c r="N12" s="1">
        <f t="shared" ref="N12" si="25">N9+SUM(N10:N11)</f>
        <v>13156.304461538455</v>
      </c>
      <c r="O12" s="1">
        <f t="shared" ref="O12" si="26">O9+SUM(O10:O11)</f>
        <v>16515.967092676918</v>
      </c>
      <c r="P12" s="1">
        <f t="shared" ref="P12" si="27">P9+SUM(P10:P11)</f>
        <v>20575.342570140489</v>
      </c>
      <c r="Q12" s="1">
        <f t="shared" ref="Q12" si="28">Q9+SUM(Q10:Q11)</f>
        <v>25470.713418298365</v>
      </c>
      <c r="R12" s="1">
        <f t="shared" ref="R12:S12" si="29">R9+SUM(R10:R11)</f>
        <v>31364.119393802579</v>
      </c>
      <c r="S12" s="1">
        <f t="shared" si="29"/>
        <v>38448.153669634572</v>
      </c>
    </row>
    <row r="13" spans="1:118" x14ac:dyDescent="0.2">
      <c r="A13" s="1" t="s">
        <v>21</v>
      </c>
      <c r="K13" s="1">
        <v>772</v>
      </c>
      <c r="L13" s="1">
        <v>797.4</v>
      </c>
      <c r="M13" s="1">
        <v>1254</v>
      </c>
      <c r="N13" s="1">
        <f>N12*0.2</f>
        <v>2631.2608923076914</v>
      </c>
      <c r="O13" s="1">
        <f t="shared" ref="O13:S13" si="30">O12*0.2</f>
        <v>3303.1934185353839</v>
      </c>
      <c r="P13" s="1">
        <f t="shared" si="30"/>
        <v>4115.0685140280975</v>
      </c>
      <c r="Q13" s="1">
        <f t="shared" si="30"/>
        <v>5094.1426836596729</v>
      </c>
      <c r="R13" s="1">
        <f t="shared" si="30"/>
        <v>6272.823878760516</v>
      </c>
      <c r="S13" s="1">
        <f t="shared" si="30"/>
        <v>7689.6307339269151</v>
      </c>
    </row>
    <row r="14" spans="1:118" s="3" customFormat="1" x14ac:dyDescent="0.2">
      <c r="A14" s="3" t="s">
        <v>22</v>
      </c>
      <c r="K14" s="3">
        <f>K12-K13</f>
        <v>4502.7999999999993</v>
      </c>
      <c r="L14" s="3">
        <f t="shared" ref="L14:M14" si="31">L12-L13</f>
        <v>5410.8000000000038</v>
      </c>
      <c r="M14" s="3">
        <f t="shared" si="31"/>
        <v>8711.7999999999993</v>
      </c>
      <c r="N14" s="3">
        <f t="shared" ref="N14" si="32">N12-N13</f>
        <v>10525.043569230764</v>
      </c>
      <c r="O14" s="3">
        <f t="shared" ref="O14" si="33">O12-O13</f>
        <v>13212.773674141534</v>
      </c>
      <c r="P14" s="3">
        <f t="shared" ref="P14" si="34">P12-P13</f>
        <v>16460.27405611239</v>
      </c>
      <c r="Q14" s="3">
        <f t="shared" ref="Q14" si="35">Q12-Q13</f>
        <v>20376.570734638692</v>
      </c>
      <c r="R14" s="3">
        <f t="shared" ref="R14:S14" si="36">R12-R13</f>
        <v>25091.295515042064</v>
      </c>
      <c r="S14" s="3">
        <f t="shared" si="36"/>
        <v>30758.522935707657</v>
      </c>
      <c r="T14" s="3">
        <f>S14*(1+$V$18)</f>
        <v>31066.108165064732</v>
      </c>
      <c r="U14" s="3">
        <f>T14*(1+$V$18)</f>
        <v>31376.769246715379</v>
      </c>
      <c r="V14" s="3">
        <f>U14*(1+$V$18)</f>
        <v>31690.536939182533</v>
      </c>
      <c r="W14" s="3">
        <f>V14*(1+$V$18)</f>
        <v>32007.442308574358</v>
      </c>
      <c r="X14" s="3">
        <f>W14*(1+$V$18)</f>
        <v>32327.516731660104</v>
      </c>
      <c r="Y14" s="3">
        <f>X14*(1+$V$18)</f>
        <v>32650.791898976706</v>
      </c>
      <c r="Z14" s="3">
        <f>Y14*(1+$V$18)</f>
        <v>32977.299817966472</v>
      </c>
      <c r="AA14" s="3">
        <f>Z14*(1+$V$18)</f>
        <v>33307.072816146137</v>
      </c>
      <c r="AB14" s="3">
        <f>AA14*(1+$V$18)</f>
        <v>33640.143544307597</v>
      </c>
      <c r="AC14" s="3">
        <f>AB14*(1+$V$18)</f>
        <v>33976.544979750674</v>
      </c>
      <c r="AD14" s="3">
        <f>AC14*(1+$V$18)</f>
        <v>34316.310429548183</v>
      </c>
      <c r="AE14" s="3">
        <f>AD14*(1+$V$18)</f>
        <v>34659.473533843666</v>
      </c>
      <c r="AF14" s="3">
        <f>AE14*(1+$V$18)</f>
        <v>35006.068269182106</v>
      </c>
      <c r="AG14" s="3">
        <f>AF14*(1+$V$18)</f>
        <v>35356.128951873929</v>
      </c>
      <c r="AH14" s="3">
        <f>AG14*(1+$V$18)</f>
        <v>35709.690241392665</v>
      </c>
      <c r="AI14" s="3">
        <f>AH14*(1+$V$18)</f>
        <v>36066.787143806592</v>
      </c>
      <c r="AJ14" s="3">
        <f>AI14*(1+$V$18)</f>
        <v>36427.455015244661</v>
      </c>
      <c r="AK14" s="3">
        <f>AJ14*(1+$V$18)</f>
        <v>36791.729565397109</v>
      </c>
      <c r="AL14" s="3">
        <f>AK14*(1+$V$18)</f>
        <v>37159.646861051078</v>
      </c>
      <c r="AM14" s="3">
        <f>AL14*(1+$V$18)</f>
        <v>37531.243329661593</v>
      </c>
      <c r="AN14" s="3">
        <f>AM14*(1+$V$18)</f>
        <v>37906.555762958211</v>
      </c>
      <c r="AO14" s="3">
        <f>AN14*(1+$V$18)</f>
        <v>38285.621320587794</v>
      </c>
      <c r="AP14" s="3">
        <f>AO14*(1+$V$18)</f>
        <v>38668.477533793674</v>
      </c>
      <c r="AQ14" s="3">
        <f>AP14*(1+$V$18)</f>
        <v>39055.162309131614</v>
      </c>
      <c r="AR14" s="3">
        <f>AQ14*(1+$V$18)</f>
        <v>39445.713932222934</v>
      </c>
      <c r="AS14" s="3">
        <f>AR14*(1+$V$18)</f>
        <v>39840.171071545163</v>
      </c>
      <c r="AT14" s="3">
        <f>AS14*(1+$V$18)</f>
        <v>40238.572782260613</v>
      </c>
      <c r="AU14" s="3">
        <f>AT14*(1+$V$18)</f>
        <v>40640.958510083219</v>
      </c>
      <c r="AV14" s="3">
        <f>AU14*(1+$V$18)</f>
        <v>41047.368095184051</v>
      </c>
      <c r="AW14" s="3">
        <f>AV14*(1+$V$18)</f>
        <v>41457.841776135894</v>
      </c>
      <c r="AX14" s="3">
        <f>AW14*(1+$V$18)</f>
        <v>41872.420193897255</v>
      </c>
      <c r="AY14" s="3">
        <f>AX14*(1+$V$18)</f>
        <v>42291.144395836229</v>
      </c>
      <c r="AZ14" s="3">
        <f>AY14*(1+$V$18)</f>
        <v>42714.055839794593</v>
      </c>
      <c r="BA14" s="3">
        <f>AZ14*(1+$V$18)</f>
        <v>43141.196398192536</v>
      </c>
      <c r="BB14" s="3">
        <f>BA14*(1+$V$18)</f>
        <v>43572.608362174462</v>
      </c>
      <c r="BC14" s="3">
        <f>BB14*(1+$V$18)</f>
        <v>44008.334445796208</v>
      </c>
      <c r="BD14" s="3">
        <f>BC14*(1+$V$18)</f>
        <v>44448.417790254171</v>
      </c>
      <c r="BE14" s="3">
        <f>BD14*(1+$V$18)</f>
        <v>44892.901968156715</v>
      </c>
      <c r="BF14" s="3">
        <f>BE14*(1+$V$18)</f>
        <v>45341.830987838286</v>
      </c>
      <c r="BG14" s="3">
        <f>BF14*(1+$V$18)</f>
        <v>45795.249297716669</v>
      </c>
      <c r="BH14" s="3">
        <f>BG14*(1+$V$18)</f>
        <v>46253.201790693834</v>
      </c>
      <c r="BI14" s="3">
        <f>BH14*(1+$V$18)</f>
        <v>46715.733808600773</v>
      </c>
      <c r="BJ14" s="3">
        <f>BI14*(1+$V$18)</f>
        <v>47182.891146686779</v>
      </c>
      <c r="BK14" s="3">
        <f>BJ14*(1+$V$18)</f>
        <v>47654.720058153645</v>
      </c>
      <c r="BL14" s="3">
        <f>BK14*(1+$V$18)</f>
        <v>48131.267258735184</v>
      </c>
      <c r="BM14" s="3">
        <f>BL14*(1+$V$18)</f>
        <v>48612.579931322536</v>
      </c>
      <c r="BN14" s="3">
        <f>BM14*(1+$V$18)</f>
        <v>49098.70573063576</v>
      </c>
      <c r="BO14" s="3">
        <f>BN14*(1+$V$18)</f>
        <v>49589.69278794212</v>
      </c>
      <c r="BP14" s="3">
        <f>BO14*(1+$V$18)</f>
        <v>50085.589715821545</v>
      </c>
      <c r="BQ14" s="3">
        <f>BP14*(1+$V$18)</f>
        <v>50586.445612979762</v>
      </c>
      <c r="BR14" s="3">
        <f>BQ14*(1+$V$18)</f>
        <v>51092.310069109561</v>
      </c>
      <c r="BS14" s="3">
        <f>BR14*(1+$V$18)</f>
        <v>51603.23316980066</v>
      </c>
      <c r="BT14" s="3">
        <f>BS14*(1+$V$18)</f>
        <v>52119.265501498667</v>
      </c>
      <c r="BU14" s="3">
        <f>BT14*(1+$V$18)</f>
        <v>52640.458156513654</v>
      </c>
      <c r="BV14" s="3">
        <f>BU14*(1+$V$18)</f>
        <v>53166.862738078788</v>
      </c>
      <c r="BW14" s="3">
        <f>BV14*(1+$V$18)</f>
        <v>53698.531365459574</v>
      </c>
      <c r="BX14" s="3">
        <f>BW14*(1+$V$18)</f>
        <v>54235.516679114167</v>
      </c>
      <c r="BY14" s="3">
        <f>BX14*(1+$V$18)</f>
        <v>54777.871845905313</v>
      </c>
      <c r="BZ14" s="3">
        <f>BY14*(1+$V$18)</f>
        <v>55325.650564364369</v>
      </c>
      <c r="CA14" s="3">
        <f>BZ14*(1+$V$18)</f>
        <v>55878.907070008012</v>
      </c>
      <c r="CB14" s="3">
        <f>CA14*(1+$V$18)</f>
        <v>56437.696140708089</v>
      </c>
      <c r="CC14" s="3">
        <f>CB14*(1+$V$18)</f>
        <v>57002.073102115173</v>
      </c>
      <c r="CD14" s="3">
        <f>CC14*(1+$V$18)</f>
        <v>57572.093833136329</v>
      </c>
      <c r="CE14" s="3">
        <f>CD14*(1+$V$18)</f>
        <v>58147.814771467689</v>
      </c>
      <c r="CF14" s="3">
        <f>CE14*(1+$V$18)</f>
        <v>58729.292919182364</v>
      </c>
      <c r="CG14" s="3">
        <f>CF14*(1+$V$18)</f>
        <v>59316.58584837419</v>
      </c>
      <c r="CH14" s="3">
        <f>CG14*(1+$V$18)</f>
        <v>59909.751706857933</v>
      </c>
      <c r="CI14" s="3">
        <f>CH14*(1+$V$18)</f>
        <v>60508.849223926511</v>
      </c>
      <c r="CJ14" s="3">
        <f>CI14*(1+$V$18)</f>
        <v>61113.937716165776</v>
      </c>
      <c r="CK14" s="3">
        <f>CJ14*(1+$V$18)</f>
        <v>61725.077093327433</v>
      </c>
      <c r="CL14" s="3">
        <f>CK14*(1+$V$18)</f>
        <v>62342.327864260704</v>
      </c>
      <c r="CM14" s="3">
        <f>CL14*(1+$V$18)</f>
        <v>62965.751142903311</v>
      </c>
      <c r="CN14" s="3">
        <f>CM14*(1+$V$18)</f>
        <v>63595.408654332343</v>
      </c>
      <c r="CO14" s="3">
        <f>CN14*(1+$V$18)</f>
        <v>64231.362740875666</v>
      </c>
      <c r="CP14" s="3">
        <f>CO14*(1+$V$18)</f>
        <v>64873.676368284425</v>
      </c>
      <c r="CQ14" s="3">
        <f>CP14*(1+$V$18)</f>
        <v>65522.413131967267</v>
      </c>
      <c r="CR14" s="3">
        <f>CQ14*(1+$V$18)</f>
        <v>66177.637263286946</v>
      </c>
      <c r="CS14" s="3">
        <f>CR14*(1+$V$18)</f>
        <v>66839.413635919816</v>
      </c>
      <c r="CT14" s="3">
        <f>CS14*(1+$V$18)</f>
        <v>67507.807772279019</v>
      </c>
      <c r="CU14" s="3">
        <f>CT14*(1+$V$18)</f>
        <v>68182.88585000181</v>
      </c>
      <c r="CV14" s="3">
        <f>CU14*(1+$V$18)</f>
        <v>68864.714708501822</v>
      </c>
      <c r="CW14" s="3">
        <f>CV14*(1+$V$18)</f>
        <v>69553.361855586845</v>
      </c>
      <c r="CX14" s="3">
        <f>CW14*(1+$V$18)</f>
        <v>70248.895474142715</v>
      </c>
      <c r="CY14" s="3">
        <f>CX14*(1+$V$18)</f>
        <v>70951.38442888415</v>
      </c>
      <c r="CZ14" s="3">
        <f>CY14*(1+$V$18)</f>
        <v>71660.898273172992</v>
      </c>
      <c r="DA14" s="3">
        <f>CZ14*(1+$V$18)</f>
        <v>72377.507255904726</v>
      </c>
      <c r="DB14" s="3">
        <f>DA14*(1+$V$18)</f>
        <v>73101.282328463771</v>
      </c>
      <c r="DC14" s="3">
        <f>DB14*(1+$V$18)</f>
        <v>73832.295151748403</v>
      </c>
      <c r="DD14" s="3">
        <f>DC14*(1+$V$18)</f>
        <v>74570.618103265893</v>
      </c>
      <c r="DE14" s="3">
        <f>DD14*(1+$V$18)</f>
        <v>75316.324284298549</v>
      </c>
      <c r="DF14" s="3">
        <f>DE14*(1+$V$18)</f>
        <v>76069.487527141537</v>
      </c>
      <c r="DG14" s="3">
        <f>DF14*(1+$V$18)</f>
        <v>76830.182402412946</v>
      </c>
      <c r="DH14" s="3">
        <f>DG14*(1+$V$18)</f>
        <v>77598.484226437082</v>
      </c>
      <c r="DI14" s="3">
        <f>DH14*(1+$V$18)</f>
        <v>78374.469068701452</v>
      </c>
      <c r="DJ14" s="3">
        <f>DI14*(1+$V$18)</f>
        <v>79158.213759388469</v>
      </c>
      <c r="DK14" s="3">
        <f>DJ14*(1+$V$18)</f>
        <v>79949.795896982352</v>
      </c>
      <c r="DL14" s="3">
        <f>DK14*(1+$V$18)</f>
        <v>80749.293855952172</v>
      </c>
      <c r="DM14" s="3">
        <f>DL14*(1+$V$18)</f>
        <v>81556.786794511689</v>
      </c>
      <c r="DN14" s="3">
        <f>DM14*(1+$V$18)</f>
        <v>82372.354662456812</v>
      </c>
    </row>
    <row r="15" spans="1:118" x14ac:dyDescent="0.2">
      <c r="A15" s="1" t="s">
        <v>1</v>
      </c>
      <c r="E15" s="1">
        <v>427.75709999999998</v>
      </c>
      <c r="K15" s="1">
        <v>444</v>
      </c>
      <c r="L15" s="1">
        <v>441</v>
      </c>
      <c r="M15" s="1">
        <v>429</v>
      </c>
      <c r="N15" s="1">
        <v>429</v>
      </c>
      <c r="O15" s="1">
        <v>429</v>
      </c>
      <c r="P15" s="1">
        <v>429</v>
      </c>
      <c r="Q15" s="1">
        <v>429</v>
      </c>
      <c r="R15" s="1">
        <v>429</v>
      </c>
      <c r="S15" s="1">
        <v>429</v>
      </c>
    </row>
    <row r="16" spans="1:118" x14ac:dyDescent="0.2">
      <c r="A16" s="1" t="s">
        <v>23</v>
      </c>
      <c r="K16" s="5">
        <f>K14/K15</f>
        <v>10.14144144144144</v>
      </c>
      <c r="L16" s="5">
        <f t="shared" ref="L16:R16" si="37">L14/L15</f>
        <v>12.26938775510205</v>
      </c>
      <c r="M16" s="5">
        <f t="shared" si="37"/>
        <v>20.307226107226107</v>
      </c>
      <c r="N16" s="5">
        <f t="shared" si="37"/>
        <v>24.533901093778002</v>
      </c>
      <c r="O16" s="5">
        <f t="shared" si="37"/>
        <v>30.799006233430148</v>
      </c>
      <c r="P16" s="5">
        <f t="shared" si="37"/>
        <v>38.368937193735178</v>
      </c>
      <c r="Q16" s="5">
        <f t="shared" si="37"/>
        <v>47.497833880276673</v>
      </c>
      <c r="R16" s="5">
        <f t="shared" si="37"/>
        <v>58.487868333431386</v>
      </c>
      <c r="S16" s="5">
        <f t="shared" ref="S16" si="38">S14/S15</f>
        <v>71.698188661323215</v>
      </c>
    </row>
    <row r="17" spans="1:118" x14ac:dyDescent="0.2">
      <c r="U17" s="1" t="s">
        <v>34</v>
      </c>
      <c r="V17" s="6">
        <v>0.02</v>
      </c>
    </row>
    <row r="18" spans="1:118" x14ac:dyDescent="0.2">
      <c r="A18" s="1" t="s">
        <v>24</v>
      </c>
      <c r="L18" s="4">
        <f>L2/K2-1</f>
        <v>6.6669829672154624E-2</v>
      </c>
      <c r="M18" s="4">
        <f>M2/L2-1</f>
        <v>0.15647045217994671</v>
      </c>
      <c r="N18" s="4">
        <f t="shared" ref="N18:S18" si="39">N2/M2-1</f>
        <v>0.17948717948717952</v>
      </c>
      <c r="O18" s="4">
        <f t="shared" si="39"/>
        <v>0.15999999999999992</v>
      </c>
      <c r="P18" s="4">
        <f t="shared" si="39"/>
        <v>0.15999999999999992</v>
      </c>
      <c r="Q18" s="4">
        <f t="shared" si="39"/>
        <v>0.15999999999999992</v>
      </c>
      <c r="R18" s="4">
        <f t="shared" si="39"/>
        <v>0.15999999999999992</v>
      </c>
      <c r="S18" s="4">
        <f t="shared" si="39"/>
        <v>0.15999999999999992</v>
      </c>
      <c r="U18" s="1" t="s">
        <v>32</v>
      </c>
      <c r="V18" s="6">
        <v>0.01</v>
      </c>
    </row>
    <row r="19" spans="1:118" x14ac:dyDescent="0.2">
      <c r="L19" s="4"/>
      <c r="M19" s="4"/>
      <c r="N19" s="4"/>
      <c r="O19" s="4"/>
      <c r="P19" s="4"/>
      <c r="Q19" s="4"/>
      <c r="R19" s="4"/>
      <c r="S19" s="4"/>
      <c r="U19" s="1" t="s">
        <v>31</v>
      </c>
      <c r="V19" s="6">
        <v>0.08</v>
      </c>
    </row>
    <row r="20" spans="1:118" x14ac:dyDescent="0.2">
      <c r="A20" s="1" t="s">
        <v>25</v>
      </c>
      <c r="K20" s="4">
        <f>K4/K2</f>
        <v>0.39370878208473692</v>
      </c>
      <c r="L20" s="4">
        <f>L4/L2</f>
        <v>0.415380463952223</v>
      </c>
      <c r="M20" s="4">
        <f>M4/M2</f>
        <v>0.46055384615384609</v>
      </c>
      <c r="N20" s="4">
        <f>M20*1.02</f>
        <v>0.46976492307692302</v>
      </c>
      <c r="O20" s="4">
        <f t="shared" ref="O20:S20" si="40">N20*1.02</f>
        <v>0.47916022153846149</v>
      </c>
      <c r="P20" s="4">
        <f t="shared" si="40"/>
        <v>0.48874342596923076</v>
      </c>
      <c r="Q20" s="4">
        <f t="shared" si="40"/>
        <v>0.4985182944886154</v>
      </c>
      <c r="R20" s="4">
        <f t="shared" si="40"/>
        <v>0.50848866037838769</v>
      </c>
      <c r="S20" s="4">
        <f t="shared" si="40"/>
        <v>0.51865843358595543</v>
      </c>
      <c r="U20" s="1" t="s">
        <v>30</v>
      </c>
      <c r="V20" s="1">
        <f>NPV(V19,N25:XFD25)+Main!P5-Main!P6</f>
        <v>427805.23135467822</v>
      </c>
    </row>
    <row r="21" spans="1:118" x14ac:dyDescent="0.2">
      <c r="A21" s="1" t="s">
        <v>35</v>
      </c>
      <c r="K21" s="4">
        <f t="shared" ref="K21:S21" si="41">K9/K2</f>
        <v>0.17851370372127592</v>
      </c>
      <c r="L21" s="4">
        <f t="shared" si="41"/>
        <v>0.20624316125646075</v>
      </c>
      <c r="M21" s="4">
        <f t="shared" si="41"/>
        <v>0.26710512820512816</v>
      </c>
      <c r="N21" s="4">
        <f t="shared" si="41"/>
        <v>0.28972296655518381</v>
      </c>
      <c r="O21" s="4">
        <f t="shared" si="41"/>
        <v>0.30877845242301916</v>
      </c>
      <c r="P21" s="4">
        <f t="shared" si="41"/>
        <v>0.32750119916237541</v>
      </c>
      <c r="Q21" s="4">
        <f t="shared" si="41"/>
        <v>0.34592316085995922</v>
      </c>
      <c r="R21" s="4">
        <f t="shared" si="41"/>
        <v>0.36407483195328455</v>
      </c>
      <c r="S21" s="4">
        <f t="shared" si="41"/>
        <v>0.38198533273104079</v>
      </c>
      <c r="U21" s="1" t="s">
        <v>0</v>
      </c>
      <c r="V21" s="5">
        <f>V20/Main!P3</f>
        <v>1004.9850014157905</v>
      </c>
    </row>
    <row r="22" spans="1:118" x14ac:dyDescent="0.2">
      <c r="L22" s="4"/>
      <c r="M22" s="4"/>
      <c r="U22" s="1" t="s">
        <v>33</v>
      </c>
      <c r="V22" s="4">
        <f>V21/Main!P2-1</f>
        <v>-0.19793695018691893</v>
      </c>
    </row>
    <row r="23" spans="1:118" x14ac:dyDescent="0.2">
      <c r="A23" s="1" t="s">
        <v>26</v>
      </c>
      <c r="K23" s="1">
        <v>2026</v>
      </c>
      <c r="L23" s="1">
        <v>7274</v>
      </c>
      <c r="M23" s="1">
        <v>7361</v>
      </c>
    </row>
    <row r="24" spans="1:118" x14ac:dyDescent="0.2">
      <c r="A24" s="1" t="s">
        <v>27</v>
      </c>
      <c r="K24" s="1">
        <f>407+911</f>
        <v>1318</v>
      </c>
      <c r="L24" s="1">
        <f>348+504</f>
        <v>852</v>
      </c>
      <c r="M24" s="1">
        <f>439+1742</f>
        <v>2181</v>
      </c>
    </row>
    <row r="25" spans="1:118" s="3" customFormat="1" x14ac:dyDescent="0.2">
      <c r="A25" s="3" t="s">
        <v>28</v>
      </c>
      <c r="K25" s="3">
        <f>K23-K24</f>
        <v>708</v>
      </c>
      <c r="L25" s="3">
        <f t="shared" ref="L25:M25" si="42">L23-L24</f>
        <v>6422</v>
      </c>
      <c r="M25" s="3">
        <f t="shared" si="42"/>
        <v>5180</v>
      </c>
      <c r="N25" s="3">
        <f>N26*N14</f>
        <v>12630.052283076917</v>
      </c>
      <c r="O25" s="3">
        <f>O26*O14</f>
        <v>15855.328408969839</v>
      </c>
      <c r="P25" s="3">
        <f>P26*P14</f>
        <v>19752.328867334869</v>
      </c>
      <c r="Q25" s="3">
        <f>Q26*Q14</f>
        <v>24451.884881566428</v>
      </c>
      <c r="R25" s="3">
        <f>R26*R14</f>
        <v>30109.554618050475</v>
      </c>
      <c r="S25" s="3">
        <f>S26*S14</f>
        <v>36910.227522849185</v>
      </c>
      <c r="T25" s="3">
        <f>S25*(1+$V$18)</f>
        <v>37279.329798077677</v>
      </c>
      <c r="U25" s="3">
        <f>T25*(1+$V$18)</f>
        <v>37652.123096058451</v>
      </c>
      <c r="V25" s="3">
        <f>U25*(1+$V$18)</f>
        <v>38028.644327019036</v>
      </c>
      <c r="W25" s="3">
        <f>V25*(1+$V$18)</f>
        <v>38408.930770289226</v>
      </c>
      <c r="X25" s="3">
        <f>W25*(1+$V$18)</f>
        <v>38793.020077992122</v>
      </c>
      <c r="Y25" s="3">
        <f>X25*(1+$V$18)</f>
        <v>39180.950278772041</v>
      </c>
      <c r="Z25" s="3">
        <f>Y25*(1+$V$18)</f>
        <v>39572.759781559762</v>
      </c>
      <c r="AA25" s="3">
        <f>Z25*(1+$V$18)</f>
        <v>39968.487379375358</v>
      </c>
      <c r="AB25" s="3">
        <f>AA25*(1+$V$18)</f>
        <v>40368.172253169112</v>
      </c>
      <c r="AC25" s="3">
        <f>AB25*(1+$V$18)</f>
        <v>40771.853975700804</v>
      </c>
      <c r="AD25" s="3">
        <f>AC25*(1+$V$18)</f>
        <v>41179.57251545781</v>
      </c>
      <c r="AE25" s="3">
        <f>AD25*(1+$V$18)</f>
        <v>41591.368240612392</v>
      </c>
      <c r="AF25" s="3">
        <f>AE25*(1+$V$18)</f>
        <v>42007.28192301852</v>
      </c>
      <c r="AG25" s="3">
        <f>AF25*(1+$V$18)</f>
        <v>42427.354742248703</v>
      </c>
      <c r="AH25" s="3">
        <f>AG25*(1+$V$18)</f>
        <v>42851.628289671193</v>
      </c>
      <c r="AI25" s="3">
        <f>AH25*(1+$V$18)</f>
        <v>43280.144572567908</v>
      </c>
      <c r="AJ25" s="3">
        <f>AI25*(1+$V$18)</f>
        <v>43712.946018293587</v>
      </c>
      <c r="AK25" s="3">
        <f>AJ25*(1+$V$18)</f>
        <v>44150.075478476523</v>
      </c>
      <c r="AL25" s="3">
        <f>AK25*(1+$V$18)</f>
        <v>44591.576233261287</v>
      </c>
      <c r="AM25" s="3">
        <f>AL25*(1+$V$18)</f>
        <v>45037.491995593897</v>
      </c>
      <c r="AN25" s="3">
        <f>AM25*(1+$V$18)</f>
        <v>45487.866915549836</v>
      </c>
      <c r="AO25" s="3">
        <f>AN25*(1+$V$18)</f>
        <v>45942.745584705335</v>
      </c>
      <c r="AP25" s="3">
        <f>AO25*(1+$V$18)</f>
        <v>46402.173040552392</v>
      </c>
      <c r="AQ25" s="3">
        <f>AP25*(1+$V$18)</f>
        <v>46866.194770957918</v>
      </c>
      <c r="AR25" s="3">
        <f>AQ25*(1+$V$18)</f>
        <v>47334.856718667499</v>
      </c>
      <c r="AS25" s="3">
        <f>AR25*(1+$V$18)</f>
        <v>47808.205285854172</v>
      </c>
      <c r="AT25" s="3">
        <f>AS25*(1+$V$18)</f>
        <v>48286.287338712711</v>
      </c>
      <c r="AU25" s="3">
        <f>AT25*(1+$V$18)</f>
        <v>48769.150212099841</v>
      </c>
      <c r="AV25" s="3">
        <f>AU25*(1+$V$18)</f>
        <v>49256.841714220842</v>
      </c>
      <c r="AW25" s="3">
        <f>AV25*(1+$V$18)</f>
        <v>49749.410131363053</v>
      </c>
      <c r="AX25" s="3">
        <f>AW25*(1+$V$18)</f>
        <v>50246.904232676687</v>
      </c>
      <c r="AY25" s="3">
        <f>AX25*(1+$V$18)</f>
        <v>50749.373275003454</v>
      </c>
      <c r="AZ25" s="3">
        <f>AY25*(1+$V$18)</f>
        <v>51256.867007753492</v>
      </c>
      <c r="BA25" s="3">
        <f>AZ25*(1+$V$18)</f>
        <v>51769.435677831025</v>
      </c>
      <c r="BB25" s="3">
        <f>BA25*(1+$V$18)</f>
        <v>52287.130034609334</v>
      </c>
      <c r="BC25" s="3">
        <f>BB25*(1+$V$18)</f>
        <v>52810.001334955428</v>
      </c>
      <c r="BD25" s="3">
        <f>BC25*(1+$V$18)</f>
        <v>53338.101348304983</v>
      </c>
      <c r="BE25" s="3">
        <f>BD25*(1+$V$18)</f>
        <v>53871.482361788032</v>
      </c>
      <c r="BF25" s="3">
        <f>BE25*(1+$V$18)</f>
        <v>54410.197185405916</v>
      </c>
      <c r="BG25" s="3">
        <f>BF25*(1+$V$18)</f>
        <v>54954.299157259979</v>
      </c>
      <c r="BH25" s="3">
        <f>BG25*(1+$V$18)</f>
        <v>55503.842148832577</v>
      </c>
      <c r="BI25" s="3">
        <f>BH25*(1+$V$18)</f>
        <v>56058.8805703209</v>
      </c>
      <c r="BJ25" s="3">
        <f>BI25*(1+$V$18)</f>
        <v>56619.469376024106</v>
      </c>
      <c r="BK25" s="3">
        <f>BJ25*(1+$V$18)</f>
        <v>57185.664069784347</v>
      </c>
      <c r="BL25" s="3">
        <f>BK25*(1+$V$18)</f>
        <v>57757.520710482189</v>
      </c>
      <c r="BM25" s="3">
        <f>BL25*(1+$V$18)</f>
        <v>58335.095917587008</v>
      </c>
      <c r="BN25" s="3">
        <f>BM25*(1+$V$18)</f>
        <v>58918.446876762879</v>
      </c>
      <c r="BO25" s="3">
        <f>BN25*(1+$V$18)</f>
        <v>59507.631345530506</v>
      </c>
      <c r="BP25" s="3">
        <f>BO25*(1+$V$18)</f>
        <v>60102.707658985812</v>
      </c>
      <c r="BQ25" s="3">
        <f>BP25*(1+$V$18)</f>
        <v>60703.734735575672</v>
      </c>
      <c r="BR25" s="3">
        <f>BQ25*(1+$V$18)</f>
        <v>61310.772082931428</v>
      </c>
      <c r="BS25" s="3">
        <f>BR25*(1+$V$18)</f>
        <v>61923.879803760741</v>
      </c>
      <c r="BT25" s="3">
        <f>BS25*(1+$V$18)</f>
        <v>62543.118601798349</v>
      </c>
      <c r="BU25" s="3">
        <f>BT25*(1+$V$18)</f>
        <v>63168.54978781633</v>
      </c>
      <c r="BV25" s="3">
        <f>BU25*(1+$V$18)</f>
        <v>63800.235285694493</v>
      </c>
      <c r="BW25" s="3">
        <f>BV25*(1+$V$18)</f>
        <v>64438.237638551436</v>
      </c>
      <c r="BX25" s="3">
        <f>BW25*(1+$V$18)</f>
        <v>65082.620014936954</v>
      </c>
      <c r="BY25" s="3">
        <f>BX25*(1+$V$18)</f>
        <v>65733.446215086326</v>
      </c>
      <c r="BZ25" s="3">
        <f>BY25*(1+$V$18)</f>
        <v>66390.780677237184</v>
      </c>
      <c r="CA25" s="3">
        <f>BZ25*(1+$V$18)</f>
        <v>67054.688484009559</v>
      </c>
      <c r="CB25" s="3">
        <f>CA25*(1+$V$18)</f>
        <v>67725.235368849651</v>
      </c>
      <c r="CC25" s="3">
        <f>CB25*(1+$V$18)</f>
        <v>68402.48772253815</v>
      </c>
      <c r="CD25" s="3">
        <f>CC25*(1+$V$18)</f>
        <v>69086.512599763533</v>
      </c>
      <c r="CE25" s="3">
        <f>CD25*(1+$V$18)</f>
        <v>69777.377725761165</v>
      </c>
      <c r="CF25" s="3">
        <f>CE25*(1+$V$18)</f>
        <v>70475.151503018773</v>
      </c>
      <c r="CG25" s="3">
        <f>CF25*(1+$V$18)</f>
        <v>71179.903018048964</v>
      </c>
      <c r="CH25" s="3">
        <f>CG25*(1+$V$18)</f>
        <v>71891.702048229461</v>
      </c>
      <c r="CI25" s="3">
        <f>CH25*(1+$V$18)</f>
        <v>72610.619068711763</v>
      </c>
      <c r="CJ25" s="3">
        <f>CI25*(1+$V$18)</f>
        <v>73336.725259398881</v>
      </c>
      <c r="CK25" s="3">
        <f>CJ25*(1+$V$18)</f>
        <v>74070.092511992872</v>
      </c>
      <c r="CL25" s="3">
        <f>CK25*(1+$V$18)</f>
        <v>74810.793437112807</v>
      </c>
      <c r="CM25" s="3">
        <f>CL25*(1+$V$18)</f>
        <v>75558.901371483938</v>
      </c>
      <c r="CN25" s="3">
        <f>CM25*(1+$V$18)</f>
        <v>76314.490385198776</v>
      </c>
      <c r="CO25" s="3">
        <f>CN25*(1+$V$18)</f>
        <v>77077.63528905077</v>
      </c>
      <c r="CP25" s="3">
        <f>CO25*(1+$V$18)</f>
        <v>77848.411641941275</v>
      </c>
      <c r="CQ25" s="3">
        <f>CP25*(1+$V$18)</f>
        <v>78626.895758360683</v>
      </c>
      <c r="CR25" s="3">
        <f>CQ25*(1+$V$18)</f>
        <v>79413.164715944295</v>
      </c>
      <c r="CS25" s="3">
        <f>CR25*(1+$V$18)</f>
        <v>80207.296363103742</v>
      </c>
      <c r="CT25" s="3">
        <f>CS25*(1+$V$18)</f>
        <v>81009.369326734784</v>
      </c>
      <c r="CU25" s="3">
        <f>CT25*(1+$V$18)</f>
        <v>81819.463020002135</v>
      </c>
      <c r="CV25" s="3">
        <f>CU25*(1+$V$18)</f>
        <v>82637.657650202163</v>
      </c>
      <c r="CW25" s="3">
        <f>CV25*(1+$V$18)</f>
        <v>83464.034226704185</v>
      </c>
      <c r="CX25" s="3">
        <f>CW25*(1+$V$18)</f>
        <v>84298.674568971226</v>
      </c>
      <c r="CY25" s="3">
        <f>CX25*(1+$V$18)</f>
        <v>85141.661314660945</v>
      </c>
      <c r="CZ25" s="3">
        <f>CY25*(1+$V$18)</f>
        <v>85993.07792780755</v>
      </c>
      <c r="DA25" s="3">
        <f>CZ25*(1+$V$18)</f>
        <v>86853.008707085624</v>
      </c>
      <c r="DB25" s="3">
        <f>DA25*(1+$V$18)</f>
        <v>87721.538794156484</v>
      </c>
      <c r="DC25" s="3">
        <f>DB25*(1+$V$18)</f>
        <v>88598.754182098055</v>
      </c>
      <c r="DD25" s="3">
        <f>DC25*(1+$V$18)</f>
        <v>89484.74172391904</v>
      </c>
      <c r="DE25" s="3">
        <f>DD25*(1+$V$18)</f>
        <v>90379.589141158227</v>
      </c>
      <c r="DF25" s="3">
        <f>DE25*(1+$V$18)</f>
        <v>91283.385032569815</v>
      </c>
      <c r="DG25" s="3">
        <f>DF25*(1+$V$18)</f>
        <v>92196.218882895511</v>
      </c>
      <c r="DH25" s="3">
        <f>DG25*(1+$V$18)</f>
        <v>93118.181071724466</v>
      </c>
      <c r="DI25" s="3">
        <f>DH25*(1+$V$18)</f>
        <v>94049.36288244171</v>
      </c>
      <c r="DJ25" s="3">
        <f>DI25*(1+$V$18)</f>
        <v>94989.856511266131</v>
      </c>
      <c r="DK25" s="3">
        <f>DJ25*(1+$V$18)</f>
        <v>95939.755076378788</v>
      </c>
      <c r="DL25" s="3">
        <f>DK25*(1+$V$18)</f>
        <v>96899.152627142583</v>
      </c>
      <c r="DM25" s="3">
        <f>DL25*(1+$V$18)</f>
        <v>97868.144153414003</v>
      </c>
      <c r="DN25" s="3">
        <f>DM25*(1+$V$18)</f>
        <v>98846.825594948139</v>
      </c>
    </row>
    <row r="26" spans="1:118" x14ac:dyDescent="0.2">
      <c r="K26" s="4">
        <f>K25/K14</f>
        <v>0.15723549791241009</v>
      </c>
      <c r="L26" s="4">
        <f>L25/L14</f>
        <v>1.1868854882826931</v>
      </c>
      <c r="M26" s="4">
        <f>M25/M14</f>
        <v>0.59459583553341455</v>
      </c>
      <c r="N26" s="4">
        <v>1.2</v>
      </c>
      <c r="O26" s="4">
        <v>1.2</v>
      </c>
      <c r="P26" s="4">
        <v>1.2</v>
      </c>
      <c r="Q26" s="4">
        <v>1.2</v>
      </c>
      <c r="R26" s="4">
        <v>1.2</v>
      </c>
      <c r="S26" s="4">
        <v>1.2</v>
      </c>
    </row>
    <row r="27" spans="1:118" x14ac:dyDescent="0.2">
      <c r="A27" s="1" t="s">
        <v>29</v>
      </c>
      <c r="E27" s="1">
        <f>E29-E31</f>
        <v>-8547.5999999999985</v>
      </c>
      <c r="M27" s="1">
        <f>M29-M31</f>
        <v>-8547.5999999999985</v>
      </c>
      <c r="N27" s="1">
        <f>M27+N14</f>
        <v>1977.4435692307652</v>
      </c>
      <c r="O27" s="1">
        <f>N27+O14</f>
        <v>15190.217243372299</v>
      </c>
      <c r="P27" s="1">
        <f>O27+P14</f>
        <v>31650.491299484689</v>
      </c>
      <c r="Q27" s="1">
        <f>P27+Q14</f>
        <v>52027.062034123381</v>
      </c>
      <c r="R27" s="1">
        <f>Q27+R14</f>
        <v>77118.357549165448</v>
      </c>
      <c r="S27" s="1">
        <f>R27+S14</f>
        <v>107876.88048487311</v>
      </c>
    </row>
    <row r="29" spans="1:118" x14ac:dyDescent="0.2">
      <c r="A29" s="1" t="s">
        <v>3</v>
      </c>
      <c r="E29" s="1">
        <f>7804.7+1779</f>
        <v>9583.7000000000007</v>
      </c>
      <c r="M29" s="1">
        <f>7804.7+1779</f>
        <v>9583.7000000000007</v>
      </c>
    </row>
    <row r="31" spans="1:118" x14ac:dyDescent="0.2">
      <c r="A31" s="1" t="s">
        <v>4</v>
      </c>
      <c r="E31" s="1">
        <f>1780.8+13798.3+2552.2</f>
        <v>18131.3</v>
      </c>
      <c r="M31" s="1">
        <f>1780.8+13798.3+2552.2</f>
        <v>18131.3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2025-04-13T00:30:36Z</dcterms:created>
  <dcterms:modified xsi:type="dcterms:W3CDTF">2025-07-25T01:00:06Z</dcterms:modified>
</cp:coreProperties>
</file>