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BE8D1D1-4F5D-4324-B366-ABBFEA33D700}" xr6:coauthVersionLast="47" xr6:coauthVersionMax="47" xr10:uidLastSave="{00000000-0000-0000-0000-000000000000}"/>
  <bookViews>
    <workbookView xWindow="3045" yWindow="855" windowWidth="23595" windowHeight="13935" activeTab="1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2" l="1"/>
  <c r="T16" i="2"/>
  <c r="U16" i="2"/>
  <c r="V16" i="2"/>
  <c r="T6" i="2"/>
  <c r="U6" i="2" s="1"/>
  <c r="V6" i="2" s="1"/>
  <c r="S6" i="2"/>
  <c r="I6" i="2"/>
  <c r="J6" i="2" s="1"/>
  <c r="H16" i="2"/>
  <c r="G29" i="2"/>
  <c r="R46" i="2"/>
  <c r="S46" i="2" s="1"/>
  <c r="T46" i="2" s="1"/>
  <c r="Q57" i="2"/>
  <c r="P57" i="2"/>
  <c r="Q60" i="2"/>
  <c r="P60" i="2"/>
  <c r="G5" i="2"/>
  <c r="G6" i="2" s="1"/>
  <c r="H22" i="2" s="1"/>
  <c r="I24" i="2"/>
  <c r="J24" i="2" s="1"/>
  <c r="H7" i="2"/>
  <c r="H21" i="2"/>
  <c r="R14" i="2"/>
  <c r="T14" i="2" s="1"/>
  <c r="U14" i="2" s="1"/>
  <c r="V14" i="2" s="1"/>
  <c r="C29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4" i="2" s="1"/>
  <c r="E8" i="2"/>
  <c r="E24" i="2" s="1"/>
  <c r="F8" i="2"/>
  <c r="F24" i="2" s="1"/>
  <c r="D11" i="2"/>
  <c r="D26" i="2" s="1"/>
  <c r="E11" i="2"/>
  <c r="E26" i="2" s="1"/>
  <c r="F11" i="2"/>
  <c r="F26" i="2" s="1"/>
  <c r="G11" i="2"/>
  <c r="C11" i="2"/>
  <c r="C26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4" i="2" s="1"/>
  <c r="P8" i="2"/>
  <c r="Q8" i="2"/>
  <c r="Q24" i="2" s="1"/>
  <c r="N11" i="2"/>
  <c r="O11" i="2"/>
  <c r="O26" i="2" s="1"/>
  <c r="P11" i="2"/>
  <c r="P26" i="2" s="1"/>
  <c r="Q11" i="2"/>
  <c r="Q26" i="2" s="1"/>
  <c r="N13" i="2"/>
  <c r="M13" i="2"/>
  <c r="M11" i="2"/>
  <c r="M8" i="2"/>
  <c r="M24" i="2" s="1"/>
  <c r="Q37" i="2"/>
  <c r="Q31" i="2"/>
  <c r="N1" i="2"/>
  <c r="O1" i="2" s="1"/>
  <c r="P1" i="2" s="1"/>
  <c r="Q1" i="2" s="1"/>
  <c r="R1" i="2" s="1"/>
  <c r="S1" i="2" s="1"/>
  <c r="T1" i="2" s="1"/>
  <c r="U1" i="2" s="1"/>
  <c r="V1" i="2" s="1"/>
  <c r="O4" i="1"/>
  <c r="P62" i="2" l="1"/>
  <c r="Q62" i="2"/>
  <c r="U46" i="2"/>
  <c r="G8" i="2"/>
  <c r="G12" i="2" s="1"/>
  <c r="G25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6" i="2"/>
  <c r="I7" i="2"/>
  <c r="C12" i="2"/>
  <c r="C15" i="2" s="1"/>
  <c r="D12" i="2"/>
  <c r="D25" i="2" s="1"/>
  <c r="E12" i="2"/>
  <c r="E25" i="2" s="1"/>
  <c r="F12" i="2"/>
  <c r="F25" i="2" s="1"/>
  <c r="L12" i="2"/>
  <c r="L15" i="2" s="1"/>
  <c r="L17" i="2" s="1"/>
  <c r="C24" i="2"/>
  <c r="P12" i="2"/>
  <c r="N12" i="2"/>
  <c r="N15" i="2" s="1"/>
  <c r="P24" i="2"/>
  <c r="N24" i="2"/>
  <c r="M12" i="2"/>
  <c r="M15" i="2" s="1"/>
  <c r="Q12" i="2"/>
  <c r="O12" i="2"/>
  <c r="Q29" i="2"/>
  <c r="O7" i="1"/>
  <c r="R7" i="2" l="1"/>
  <c r="R8" i="2" s="1"/>
  <c r="R24" i="2" s="1"/>
  <c r="V46" i="2"/>
  <c r="G24" i="2"/>
  <c r="R11" i="2"/>
  <c r="R26" i="2" s="1"/>
  <c r="I8" i="2"/>
  <c r="I12" i="2" s="1"/>
  <c r="I25" i="2" s="1"/>
  <c r="J12" i="2"/>
  <c r="J25" i="2"/>
  <c r="C17" i="2"/>
  <c r="C19" i="2" s="1"/>
  <c r="D15" i="2"/>
  <c r="C25" i="2"/>
  <c r="F15" i="2"/>
  <c r="E15" i="2"/>
  <c r="H25" i="2"/>
  <c r="G15" i="2"/>
  <c r="R21" i="2"/>
  <c r="Q15" i="2"/>
  <c r="Q17" i="2" s="1"/>
  <c r="Q44" i="2" s="1"/>
  <c r="Q25" i="2"/>
  <c r="O15" i="2"/>
  <c r="O17" i="2" s="1"/>
  <c r="O25" i="2"/>
  <c r="P15" i="2"/>
  <c r="P25" i="2"/>
  <c r="N17" i="2"/>
  <c r="N44" i="2" s="1"/>
  <c r="R56" i="2" l="1"/>
  <c r="R47" i="2"/>
  <c r="R60" i="2"/>
  <c r="R55" i="2"/>
  <c r="H17" i="2"/>
  <c r="G17" i="2"/>
  <c r="G19" i="2" s="1"/>
  <c r="F17" i="2"/>
  <c r="F19" i="2" s="1"/>
  <c r="E17" i="2"/>
  <c r="E19" i="2" s="1"/>
  <c r="D17" i="2"/>
  <c r="D19" i="2" s="1"/>
  <c r="P17" i="2"/>
  <c r="P44" i="2" s="1"/>
  <c r="S21" i="2"/>
  <c r="S7" i="2"/>
  <c r="S8" i="2" s="1"/>
  <c r="Q19" i="2"/>
  <c r="O44" i="2"/>
  <c r="O19" i="2"/>
  <c r="S55" i="2" l="1"/>
  <c r="S60" i="2"/>
  <c r="S47" i="2"/>
  <c r="S56" i="2"/>
  <c r="H19" i="2"/>
  <c r="H29" i="2"/>
  <c r="I13" i="2" s="1"/>
  <c r="P19" i="2"/>
  <c r="T7" i="2"/>
  <c r="T8" i="2" s="1"/>
  <c r="T21" i="2"/>
  <c r="R12" i="2"/>
  <c r="R25" i="2" s="1"/>
  <c r="M17" i="2"/>
  <c r="M44" i="2" s="1"/>
  <c r="T56" i="2" l="1"/>
  <c r="T47" i="2"/>
  <c r="T60" i="2"/>
  <c r="T55" i="2"/>
  <c r="I15" i="2"/>
  <c r="I16" i="2" s="1"/>
  <c r="U7" i="2"/>
  <c r="U8" i="2" s="1"/>
  <c r="U21" i="2"/>
  <c r="U55" i="2" l="1"/>
  <c r="U60" i="2"/>
  <c r="U47" i="2"/>
  <c r="U56" i="2"/>
  <c r="I17" i="2"/>
  <c r="I29" i="2" s="1"/>
  <c r="V21" i="2"/>
  <c r="V7" i="2"/>
  <c r="V8" i="2" s="1"/>
  <c r="V11" i="2"/>
  <c r="U11" i="2"/>
  <c r="U12" i="2" s="1"/>
  <c r="T11" i="2"/>
  <c r="T12" i="2" s="1"/>
  <c r="T25" i="2" s="1"/>
  <c r="S11" i="2"/>
  <c r="S12" i="2" s="1"/>
  <c r="S25" i="2" s="1"/>
  <c r="V56" i="2" l="1"/>
  <c r="V47" i="2"/>
  <c r="V60" i="2"/>
  <c r="V55" i="2"/>
  <c r="V12" i="2"/>
  <c r="I19" i="2"/>
  <c r="U25" i="2"/>
  <c r="V25" i="2"/>
  <c r="J13" i="2" l="1"/>
  <c r="J15" i="2" l="1"/>
  <c r="J16" i="2" s="1"/>
  <c r="R13" i="2"/>
  <c r="R29" i="2" l="1"/>
  <c r="R15" i="2"/>
  <c r="J17" i="2"/>
  <c r="J29" i="2" s="1"/>
  <c r="R16" i="2"/>
  <c r="J19" i="2" l="1"/>
  <c r="R17" i="2"/>
  <c r="S13" i="2"/>
  <c r="S15" i="2" s="1"/>
  <c r="S29" i="2" l="1"/>
  <c r="T13" i="2" s="1"/>
  <c r="T15" i="2" s="1"/>
  <c r="S17" i="2"/>
  <c r="R19" i="2"/>
  <c r="R44" i="2"/>
  <c r="R57" i="2" s="1"/>
  <c r="R62" i="2" s="1"/>
  <c r="T29" i="2" l="1"/>
  <c r="S44" i="2"/>
  <c r="S57" i="2" s="1"/>
  <c r="S62" i="2" s="1"/>
  <c r="S19" i="2"/>
  <c r="U13" i="2"/>
  <c r="U15" i="2" s="1"/>
  <c r="T17" i="2"/>
  <c r="U29" i="2" l="1"/>
  <c r="T19" i="2"/>
  <c r="T44" i="2"/>
  <c r="T57" i="2" s="1"/>
  <c r="T62" i="2" s="1"/>
  <c r="V13" i="2"/>
  <c r="V15" i="2" s="1"/>
  <c r="V29" i="2"/>
  <c r="U17" i="2"/>
  <c r="V17" i="2" l="1"/>
  <c r="U44" i="2"/>
  <c r="U57" i="2" s="1"/>
  <c r="U62" i="2" s="1"/>
  <c r="U19" i="2"/>
  <c r="V44" i="2" l="1"/>
  <c r="V57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Y57" i="2" s="1"/>
  <c r="Y58" i="2" s="1"/>
  <c r="Y59" i="2" s="1"/>
  <c r="V19" i="2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<sst xmlns="http://schemas.openxmlformats.org/spreadsheetml/2006/main" count="95" uniqueCount="83">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</sst>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73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P24"/>
  <sheetViews>
    <sheetView zoomScale="115" zoomScaleNormal="115" workbookViewId="0">
      <selection activeCell="O3" sqref="O3"/>
    </sheetView>
  </sheetViews>
  <sheetFormatPr defaultRowHeight="12.75" x14ac:dyDescent="0.2"/>
  <cols>
    <col min="1" max="3" width="9.140625" style="10"/>
    <col min="4" max="4" width="10.42578125" style="10" customWidth="1"/>
    <col min="5" max="5" width="9.85546875" style="10" customWidth="1"/>
    <col min="6" max="14" width="9.140625" style="10"/>
    <col min="15" max="15" width="10.42578125" style="10" customWidth="1"/>
    <col min="16" max="16384" width="9.140625" style="10"/>
  </cols>
  <sheetData>
    <row r="1" spans="1:16" x14ac:dyDescent="0.2">
      <c r="A1" s="9"/>
    </row>
    <row r="2" spans="1:16" x14ac:dyDescent="0.2">
      <c r="N2" s="10" t="s">
        <v>0</v>
      </c>
      <c r="O2" s="5">
        <v>155</v>
      </c>
    </row>
    <row r="3" spans="1:16" x14ac:dyDescent="0.2">
      <c r="N3" s="10" t="s">
        <v>1</v>
      </c>
      <c r="O3" s="2">
        <v>24400</v>
      </c>
      <c r="P3" s="10" t="s">
        <v>26</v>
      </c>
    </row>
    <row r="4" spans="1:16" x14ac:dyDescent="0.2">
      <c r="N4" s="10" t="s">
        <v>2</v>
      </c>
      <c r="O4" s="2">
        <f>O3*O2</f>
        <v>3782000</v>
      </c>
    </row>
    <row r="5" spans="1:16" x14ac:dyDescent="0.2">
      <c r="D5" s="10" t="s">
        <v>42</v>
      </c>
      <c r="E5" s="10">
        <v>2022</v>
      </c>
      <c r="N5" s="10" t="s">
        <v>3</v>
      </c>
      <c r="O5" s="2">
        <v>53691</v>
      </c>
      <c r="P5" s="10" t="s">
        <v>26</v>
      </c>
    </row>
    <row r="6" spans="1:16" x14ac:dyDescent="0.2">
      <c r="D6" s="10" t="s">
        <v>43</v>
      </c>
      <c r="F6" s="10" t="s">
        <v>46</v>
      </c>
      <c r="N6" s="10" t="s">
        <v>4</v>
      </c>
      <c r="O6" s="2">
        <v>14869</v>
      </c>
      <c r="P6" s="10" t="s">
        <v>26</v>
      </c>
    </row>
    <row r="7" spans="1:16" x14ac:dyDescent="0.2">
      <c r="D7" s="10" t="s">
        <v>52</v>
      </c>
      <c r="N7" s="10" t="s">
        <v>5</v>
      </c>
      <c r="O7" s="2">
        <f>O4+O6-O5</f>
        <v>3743178</v>
      </c>
    </row>
    <row r="8" spans="1:16" x14ac:dyDescent="0.2">
      <c r="D8" s="10" t="s">
        <v>44</v>
      </c>
    </row>
    <row r="9" spans="1:16" x14ac:dyDescent="0.2">
      <c r="D9" s="10" t="s">
        <v>45</v>
      </c>
    </row>
    <row r="13" spans="1:16" x14ac:dyDescent="0.2">
      <c r="D13" s="10" t="s">
        <v>74</v>
      </c>
    </row>
    <row r="14" spans="1:16" x14ac:dyDescent="0.2">
      <c r="D14" s="10" t="s">
        <v>53</v>
      </c>
    </row>
    <row r="15" spans="1:16" x14ac:dyDescent="0.2">
      <c r="D15" s="10" t="s">
        <v>54</v>
      </c>
    </row>
    <row r="16" spans="1:16" x14ac:dyDescent="0.2">
      <c r="D16" s="10" t="s">
        <v>55</v>
      </c>
    </row>
    <row r="17" spans="4:4" x14ac:dyDescent="0.2">
      <c r="D17" s="10" t="s">
        <v>56</v>
      </c>
    </row>
    <row r="18" spans="4:4" x14ac:dyDescent="0.2">
      <c r="D18" s="10" t="s">
        <v>57</v>
      </c>
    </row>
    <row r="19" spans="4:4" x14ac:dyDescent="0.2">
      <c r="D19" s="10" t="s">
        <v>58</v>
      </c>
    </row>
    <row r="20" spans="4:4" x14ac:dyDescent="0.2">
      <c r="D20" s="10" t="s">
        <v>59</v>
      </c>
    </row>
    <row r="21" spans="4:4" x14ac:dyDescent="0.2">
      <c r="D21" s="10" t="s">
        <v>60</v>
      </c>
    </row>
    <row r="22" spans="4:4" x14ac:dyDescent="0.2">
      <c r="D22" s="10" t="s">
        <v>61</v>
      </c>
    </row>
    <row r="23" spans="4:4" x14ac:dyDescent="0.2">
      <c r="D23" s="10" t="s">
        <v>62</v>
      </c>
    </row>
    <row r="24" spans="4:4" x14ac:dyDescent="0.2">
      <c r="D24" s="1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2"/>
  <sheetViews>
    <sheetView tabSelected="1" zoomScale="130" zoomScaleNormal="130" workbookViewId="0">
      <pane xSplit="2" ySplit="1" topLeftCell="O4" activePane="bottomRight" state="frozen"/>
      <selection pane="topRight" activeCell="B1" sqref="B1"/>
      <selection pane="bottomLeft" activeCell="A2" sqref="A2"/>
      <selection pane="bottomRight" activeCell="S16" sqref="S16"/>
    </sheetView>
  </sheetViews>
  <sheetFormatPr defaultRowHeight="12.75" x14ac:dyDescent="0.2"/>
  <cols>
    <col min="1" max="1" width="5" style="2" customWidth="1"/>
    <col min="2" max="2" width="24.7109375" style="2" customWidth="1"/>
    <col min="3" max="5" width="9.140625" style="2"/>
    <col min="6" max="10" width="9.28515625" style="2" bestFit="1" customWidth="1"/>
    <col min="11" max="11" width="9.140625" style="2"/>
    <col min="12" max="24" width="9.28515625" style="2" bestFit="1" customWidth="1"/>
    <col min="25" max="25" width="10.140625" style="2" bestFit="1" customWidth="1"/>
    <col min="26" max="119" width="9.28515625" style="2" bestFit="1" customWidth="1"/>
    <col min="120" max="143" width="10.140625" style="2" bestFit="1" customWidth="1"/>
    <col min="144" max="16384" width="9.140625" style="2"/>
  </cols>
  <sheetData>
    <row r="1" spans="1:26" ht="13.5" x14ac:dyDescent="0.25">
      <c r="A1" s="1" t="s">
        <v>41</v>
      </c>
      <c r="C1" s="2" t="s">
        <v>23</v>
      </c>
      <c r="D1" s="2" t="s">
        <v>24</v>
      </c>
      <c r="E1" s="2" t="s">
        <v>25</v>
      </c>
      <c r="F1" s="2" t="s">
        <v>6</v>
      </c>
      <c r="G1" s="2" t="s">
        <v>26</v>
      </c>
      <c r="H1" s="2" t="s">
        <v>38</v>
      </c>
      <c r="I1" s="2" t="s">
        <v>39</v>
      </c>
      <c r="J1" s="2" t="s">
        <v>37</v>
      </c>
      <c r="L1" s="3">
        <v>2020</v>
      </c>
      <c r="M1" s="3">
        <v>2021</v>
      </c>
      <c r="N1" s="3">
        <f>M1+1</f>
        <v>2022</v>
      </c>
      <c r="O1" s="3">
        <f t="shared" ref="O1:V1" si="0">N1+1</f>
        <v>2023</v>
      </c>
      <c r="P1" s="3">
        <f t="shared" si="0"/>
        <v>2024</v>
      </c>
      <c r="Q1" s="3">
        <f t="shared" si="0"/>
        <v>2025</v>
      </c>
      <c r="R1" s="3">
        <f t="shared" si="0"/>
        <v>2026</v>
      </c>
      <c r="S1" s="3">
        <f t="shared" si="0"/>
        <v>2027</v>
      </c>
      <c r="T1" s="3">
        <f t="shared" si="0"/>
        <v>2028</v>
      </c>
      <c r="U1" s="3">
        <f t="shared" si="0"/>
        <v>2029</v>
      </c>
      <c r="V1" s="3">
        <f t="shared" si="0"/>
        <v>2030</v>
      </c>
    </row>
    <row r="2" spans="1:26" ht="13.5" x14ac:dyDescent="0.25">
      <c r="A2" s="1"/>
      <c r="B2" s="2" t="s">
        <v>66</v>
      </c>
      <c r="G2" s="2">
        <v>567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13.5" x14ac:dyDescent="0.25">
      <c r="A3" s="1"/>
      <c r="B3" s="2" t="s">
        <v>65</v>
      </c>
      <c r="G3" s="2">
        <v>509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13.5" x14ac:dyDescent="0.25">
      <c r="A4" s="1"/>
      <c r="B4" s="2" t="s">
        <v>64</v>
      </c>
      <c r="G4" s="2">
        <v>3800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ht="13.5" x14ac:dyDescent="0.25">
      <c r="A5" s="1"/>
      <c r="B5" s="2" t="s">
        <v>49</v>
      </c>
      <c r="G5" s="2">
        <f>39100</f>
        <v>39100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s="4" customFormat="1" x14ac:dyDescent="0.2">
      <c r="B6" s="4" t="s">
        <v>7</v>
      </c>
      <c r="C6" s="4">
        <v>26044</v>
      </c>
      <c r="F6" s="4">
        <v>39300</v>
      </c>
      <c r="G6" s="4">
        <f>SUM(G2:G5)</f>
        <v>43976</v>
      </c>
      <c r="H6" s="4">
        <v>46000</v>
      </c>
      <c r="I6" s="4">
        <f>H6*1.13</f>
        <v>51979.999999999993</v>
      </c>
      <c r="J6" s="4">
        <f>I6*1.12</f>
        <v>58217.599999999999</v>
      </c>
      <c r="O6" s="4">
        <v>26974</v>
      </c>
      <c r="P6" s="4">
        <v>60922</v>
      </c>
      <c r="Q6" s="4">
        <v>130497</v>
      </c>
      <c r="R6" s="4">
        <f>SUM(G6:J6)</f>
        <v>200173.6</v>
      </c>
      <c r="S6" s="4">
        <f>R6*1.44</f>
        <v>288249.984</v>
      </c>
      <c r="T6" s="4">
        <f t="shared" ref="T6:V6" si="1">S6*1.44</f>
        <v>415079.97696</v>
      </c>
      <c r="U6" s="4">
        <f t="shared" si="1"/>
        <v>597715.16682239994</v>
      </c>
      <c r="V6" s="4">
        <f t="shared" si="1"/>
        <v>860709.84022425592</v>
      </c>
    </row>
    <row r="7" spans="1:26" x14ac:dyDescent="0.2">
      <c r="B7" s="2" t="s">
        <v>8</v>
      </c>
      <c r="C7" s="2">
        <v>5638</v>
      </c>
      <c r="G7" s="2">
        <v>17394</v>
      </c>
      <c r="H7" s="2">
        <f>H6*(1-H24)</f>
        <v>12880.000000000002</v>
      </c>
      <c r="I7" s="2">
        <f>I6*(1-I24)</f>
        <v>13805.888000000001</v>
      </c>
      <c r="J7" s="2">
        <f>J6*(1-J24)</f>
        <v>14607.4944512</v>
      </c>
      <c r="O7" s="2">
        <v>11618</v>
      </c>
      <c r="P7" s="2">
        <v>16621</v>
      </c>
      <c r="Q7" s="2">
        <v>32639</v>
      </c>
      <c r="R7" s="2">
        <f>SUM(G7:J7)</f>
        <v>58687.382451199999</v>
      </c>
      <c r="S7" s="2">
        <f>S6*(1-S24)</f>
        <v>74944.995840000003</v>
      </c>
      <c r="T7" s="2">
        <f>T6*(1-T24)</f>
        <v>107920.79400960001</v>
      </c>
      <c r="U7" s="2">
        <f>U6*(1-U24)</f>
        <v>155405.943373824</v>
      </c>
      <c r="V7" s="2">
        <f>V6*(1-V24)</f>
        <v>223784.55845830654</v>
      </c>
      <c r="Z7" s="4"/>
    </row>
    <row r="8" spans="1:26" x14ac:dyDescent="0.2">
      <c r="B8" s="2" t="s">
        <v>9</v>
      </c>
      <c r="C8" s="2">
        <f>C6-C7</f>
        <v>20406</v>
      </c>
      <c r="D8" s="2">
        <f t="shared" ref="D8:J8" si="2">D6-D7</f>
        <v>0</v>
      </c>
      <c r="E8" s="2">
        <f t="shared" si="2"/>
        <v>0</v>
      </c>
      <c r="F8" s="2">
        <f t="shared" si="2"/>
        <v>39300</v>
      </c>
      <c r="G8" s="2">
        <f t="shared" si="2"/>
        <v>26582</v>
      </c>
      <c r="H8" s="2">
        <f t="shared" si="2"/>
        <v>33120</v>
      </c>
      <c r="I8" s="2">
        <f t="shared" si="2"/>
        <v>38174.111999999994</v>
      </c>
      <c r="J8" s="2">
        <f t="shared" si="2"/>
        <v>43610.105548799998</v>
      </c>
      <c r="L8" s="2">
        <f t="shared" ref="L8:V8" si="3">L6-L7</f>
        <v>0</v>
      </c>
      <c r="M8" s="2">
        <f t="shared" si="3"/>
        <v>0</v>
      </c>
      <c r="N8" s="2">
        <f t="shared" si="3"/>
        <v>0</v>
      </c>
      <c r="O8" s="2">
        <f t="shared" si="3"/>
        <v>15356</v>
      </c>
      <c r="P8" s="2">
        <f t="shared" si="3"/>
        <v>44301</v>
      </c>
      <c r="Q8" s="2">
        <f t="shared" si="3"/>
        <v>97858</v>
      </c>
      <c r="R8" s="2">
        <f t="shared" si="3"/>
        <v>141486.21754879999</v>
      </c>
      <c r="S8" s="2">
        <f t="shared" si="3"/>
        <v>213304.98816000001</v>
      </c>
      <c r="T8" s="2">
        <f t="shared" si="3"/>
        <v>307159.18295039999</v>
      </c>
      <c r="U8" s="2">
        <f t="shared" si="3"/>
        <v>442309.22344857594</v>
      </c>
      <c r="V8" s="2">
        <f t="shared" si="3"/>
        <v>636925.28176594945</v>
      </c>
      <c r="Z8" s="4"/>
    </row>
    <row r="9" spans="1:26" x14ac:dyDescent="0.2">
      <c r="B9" s="2" t="s">
        <v>10</v>
      </c>
      <c r="C9" s="2">
        <v>2720</v>
      </c>
      <c r="G9" s="2">
        <v>3989</v>
      </c>
      <c r="O9" s="2">
        <v>7339</v>
      </c>
      <c r="P9" s="2">
        <v>8675</v>
      </c>
      <c r="Q9" s="2">
        <v>12914</v>
      </c>
      <c r="Z9" s="4"/>
    </row>
    <row r="10" spans="1:26" x14ac:dyDescent="0.2">
      <c r="B10" s="2" t="s">
        <v>11</v>
      </c>
      <c r="C10" s="2">
        <v>777</v>
      </c>
      <c r="G10" s="2">
        <v>1041</v>
      </c>
      <c r="O10" s="2">
        <v>2440</v>
      </c>
      <c r="P10" s="2">
        <v>2654</v>
      </c>
      <c r="Q10" s="2">
        <v>3491</v>
      </c>
      <c r="Z10" s="4"/>
    </row>
    <row r="11" spans="1:26" x14ac:dyDescent="0.2">
      <c r="B11" s="2" t="s">
        <v>12</v>
      </c>
      <c r="C11" s="2">
        <f>SUM(C9:C10)</f>
        <v>3497</v>
      </c>
      <c r="D11" s="2">
        <f t="shared" ref="D11:G11" si="4">SUM(D9:D10)</f>
        <v>0</v>
      </c>
      <c r="E11" s="2">
        <f t="shared" si="4"/>
        <v>0</v>
      </c>
      <c r="F11" s="2">
        <f t="shared" si="4"/>
        <v>0</v>
      </c>
      <c r="G11" s="2">
        <f t="shared" si="4"/>
        <v>5030</v>
      </c>
      <c r="H11" s="2">
        <f>H6*H26</f>
        <v>7820.0000000000009</v>
      </c>
      <c r="I11" s="2">
        <f>I6*I26</f>
        <v>8836.5999999999985</v>
      </c>
      <c r="J11" s="2">
        <f>J6*J26</f>
        <v>9896.9920000000002</v>
      </c>
      <c r="L11" s="2">
        <f>SUM(L9:L10)</f>
        <v>0</v>
      </c>
      <c r="M11" s="2">
        <f>SUM(M9:M10)</f>
        <v>0</v>
      </c>
      <c r="N11" s="2">
        <f t="shared" ref="N11:Q11" si="5">SUM(N9:N10)</f>
        <v>0</v>
      </c>
      <c r="O11" s="2">
        <f t="shared" si="5"/>
        <v>9779</v>
      </c>
      <c r="P11" s="2">
        <f t="shared" si="5"/>
        <v>11329</v>
      </c>
      <c r="Q11" s="2">
        <f t="shared" si="5"/>
        <v>16405</v>
      </c>
      <c r="R11" s="2">
        <f>SUM(G11:J11)</f>
        <v>31583.591999999997</v>
      </c>
      <c r="S11" s="2">
        <f>S6*S26</f>
        <v>46119.997439999999</v>
      </c>
      <c r="T11" s="2">
        <f>T6*T26</f>
        <v>66412.796313600003</v>
      </c>
      <c r="U11" s="2">
        <f>U6*U26</f>
        <v>95634.426691583998</v>
      </c>
      <c r="V11" s="2">
        <f>V6*V26</f>
        <v>137713.57443588096</v>
      </c>
      <c r="Z11" s="4"/>
    </row>
    <row r="12" spans="1:26" x14ac:dyDescent="0.2">
      <c r="B12" s="2" t="s">
        <v>13</v>
      </c>
      <c r="C12" s="2">
        <f>C8-C11</f>
        <v>16909</v>
      </c>
      <c r="D12" s="2">
        <f t="shared" ref="D12:J12" si="6">D8-D11</f>
        <v>0</v>
      </c>
      <c r="E12" s="2">
        <f t="shared" si="6"/>
        <v>0</v>
      </c>
      <c r="F12" s="2">
        <f t="shared" si="6"/>
        <v>39300</v>
      </c>
      <c r="G12" s="2">
        <f t="shared" si="6"/>
        <v>21552</v>
      </c>
      <c r="H12" s="2">
        <f t="shared" si="6"/>
        <v>25300</v>
      </c>
      <c r="I12" s="2">
        <f t="shared" si="6"/>
        <v>29337.511999999995</v>
      </c>
      <c r="J12" s="2">
        <f t="shared" si="6"/>
        <v>33713.1135488</v>
      </c>
      <c r="L12" s="2">
        <f>L8-L11</f>
        <v>0</v>
      </c>
      <c r="M12" s="2">
        <f>M8-M11</f>
        <v>0</v>
      </c>
      <c r="N12" s="2">
        <f t="shared" ref="N12:Q12" si="7">N8-N11</f>
        <v>0</v>
      </c>
      <c r="O12" s="2">
        <f t="shared" si="7"/>
        <v>5577</v>
      </c>
      <c r="P12" s="2">
        <f t="shared" si="7"/>
        <v>32972</v>
      </c>
      <c r="Q12" s="2">
        <f t="shared" si="7"/>
        <v>81453</v>
      </c>
      <c r="R12" s="2">
        <f>R8-R11</f>
        <v>109902.62554879999</v>
      </c>
      <c r="S12" s="2">
        <f t="shared" ref="S12:V12" si="8">S8-S11</f>
        <v>167184.99072</v>
      </c>
      <c r="T12" s="2">
        <f t="shared" si="8"/>
        <v>240746.38663679999</v>
      </c>
      <c r="U12" s="2">
        <f t="shared" si="8"/>
        <v>346674.79675699194</v>
      </c>
      <c r="V12" s="2">
        <f t="shared" si="8"/>
        <v>499211.70733006846</v>
      </c>
      <c r="Z12" s="4"/>
    </row>
    <row r="13" spans="1:26" x14ac:dyDescent="0.2">
      <c r="B13" s="2" t="s">
        <v>14</v>
      </c>
      <c r="C13" s="2">
        <f>359-64</f>
        <v>295</v>
      </c>
      <c r="G13" s="2">
        <f>515-63</f>
        <v>452</v>
      </c>
      <c r="H13" s="2">
        <f>G29*$Y$54/4</f>
        <v>194.11</v>
      </c>
      <c r="I13" s="2">
        <f>H29*$Y$54/4</f>
        <v>296.08643999999998</v>
      </c>
      <c r="J13" s="2">
        <f>I29*$Y$54/4</f>
        <v>414.62083375999998</v>
      </c>
      <c r="L13" s="2">
        <f>K29*$Y$54</f>
        <v>0</v>
      </c>
      <c r="M13" s="2">
        <f>L29*$Y$54</f>
        <v>0</v>
      </c>
      <c r="N13" s="2">
        <f>M29*$Y$54</f>
        <v>0</v>
      </c>
      <c r="O13" s="2">
        <f>267-262</f>
        <v>5</v>
      </c>
      <c r="P13" s="2">
        <f>866-257</f>
        <v>609</v>
      </c>
      <c r="Q13" s="2">
        <f>1786-247</f>
        <v>1539</v>
      </c>
      <c r="R13" s="2">
        <f>SUM(G13:J13)</f>
        <v>1356.8172737599998</v>
      </c>
      <c r="S13" s="2">
        <f>R29*$Y$54</f>
        <v>637.17634547520004</v>
      </c>
      <c r="T13" s="2">
        <f>S29*$Y$54</f>
        <v>649.91987238470404</v>
      </c>
      <c r="U13" s="2">
        <f>T29*$Y$54</f>
        <v>662.9182698323981</v>
      </c>
      <c r="V13" s="2">
        <f>U29*$Y$54</f>
        <v>676.17663522904604</v>
      </c>
      <c r="Z13" s="4"/>
    </row>
    <row r="14" spans="1:26" x14ac:dyDescent="0.2">
      <c r="B14" s="2" t="s">
        <v>15</v>
      </c>
      <c r="C14" s="2">
        <v>75</v>
      </c>
      <c r="G14" s="2">
        <v>-180</v>
      </c>
      <c r="O14" s="2">
        <v>-48</v>
      </c>
      <c r="P14" s="2">
        <v>237</v>
      </c>
      <c r="Q14" s="2">
        <v>1034</v>
      </c>
      <c r="R14" s="2">
        <f>SUM(G14:J14)</f>
        <v>-180</v>
      </c>
      <c r="S14" s="2">
        <v>0</v>
      </c>
      <c r="T14" s="2">
        <f t="shared" ref="T14:V14" si="9">S14*1.02</f>
        <v>0</v>
      </c>
      <c r="U14" s="2">
        <f t="shared" si="9"/>
        <v>0</v>
      </c>
      <c r="V14" s="2">
        <f t="shared" si="9"/>
        <v>0</v>
      </c>
      <c r="Z14" s="4"/>
    </row>
    <row r="15" spans="1:26" x14ac:dyDescent="0.2">
      <c r="B15" s="2" t="s">
        <v>16</v>
      </c>
      <c r="C15" s="2">
        <f>C12+SUM(C13:C14)</f>
        <v>17279</v>
      </c>
      <c r="D15" s="2">
        <f t="shared" ref="D15:J15" si="10">D12+SUM(D13:D14)</f>
        <v>0</v>
      </c>
      <c r="E15" s="2">
        <f t="shared" si="10"/>
        <v>0</v>
      </c>
      <c r="F15" s="2">
        <f t="shared" si="10"/>
        <v>39300</v>
      </c>
      <c r="G15" s="2">
        <f t="shared" si="10"/>
        <v>21824</v>
      </c>
      <c r="H15" s="2">
        <f t="shared" si="10"/>
        <v>25494.11</v>
      </c>
      <c r="I15" s="2">
        <f t="shared" si="10"/>
        <v>29633.598439999994</v>
      </c>
      <c r="J15" s="2">
        <f t="shared" si="10"/>
        <v>34127.734382559996</v>
      </c>
      <c r="L15" s="2">
        <f>L12+SUM(L13:L14)</f>
        <v>0</v>
      </c>
      <c r="M15" s="2">
        <f>M12+SUM(M13:M14)</f>
        <v>0</v>
      </c>
      <c r="N15" s="2">
        <f t="shared" ref="N15:Q15" si="11">N12+SUM(N13:N14)</f>
        <v>0</v>
      </c>
      <c r="O15" s="2">
        <f t="shared" si="11"/>
        <v>5534</v>
      </c>
      <c r="P15" s="2">
        <f t="shared" si="11"/>
        <v>33818</v>
      </c>
      <c r="Q15" s="2">
        <f t="shared" si="11"/>
        <v>84026</v>
      </c>
      <c r="R15" s="2">
        <f>R12+SUM(R13:R14)</f>
        <v>111079.44282255998</v>
      </c>
      <c r="S15" s="2">
        <f t="shared" ref="S15:V15" si="12">S12+SUM(S13:S14)</f>
        <v>167822.16706547519</v>
      </c>
      <c r="T15" s="2">
        <f t="shared" si="12"/>
        <v>241396.30650918468</v>
      </c>
      <c r="U15" s="2">
        <f t="shared" si="12"/>
        <v>347337.71502682433</v>
      </c>
      <c r="V15" s="2">
        <f t="shared" si="12"/>
        <v>499887.88396529749</v>
      </c>
    </row>
    <row r="16" spans="1:26" x14ac:dyDescent="0.2">
      <c r="B16" s="2" t="s">
        <v>17</v>
      </c>
      <c r="C16" s="2">
        <v>2398</v>
      </c>
      <c r="G16" s="2">
        <v>3135</v>
      </c>
      <c r="H16" s="2">
        <f>H15*0.2</f>
        <v>5098.8220000000001</v>
      </c>
      <c r="I16" s="2">
        <f t="shared" ref="I16:J16" si="13">I15*0.2</f>
        <v>5926.7196879999992</v>
      </c>
      <c r="J16" s="2">
        <f t="shared" si="13"/>
        <v>6825.5468765119995</v>
      </c>
      <c r="O16" s="2">
        <v>-187</v>
      </c>
      <c r="P16" s="2">
        <v>4058</v>
      </c>
      <c r="Q16" s="2">
        <v>11146</v>
      </c>
      <c r="R16" s="2">
        <f>SUM(G16:J16)</f>
        <v>20986.088564512</v>
      </c>
      <c r="S16" s="2">
        <f>S15*0.2</f>
        <v>33564.433413095037</v>
      </c>
      <c r="T16" s="2">
        <f t="shared" ref="T16:V16" si="14">T15*0.2</f>
        <v>48279.261301836937</v>
      </c>
      <c r="U16" s="2">
        <f t="shared" si="14"/>
        <v>69467.543005364874</v>
      </c>
      <c r="V16" s="2">
        <f t="shared" si="14"/>
        <v>99977.576793059503</v>
      </c>
    </row>
    <row r="17" spans="1:143" s="4" customFormat="1" x14ac:dyDescent="0.2">
      <c r="B17" s="4" t="s">
        <v>18</v>
      </c>
      <c r="C17" s="4">
        <f>C15-C16</f>
        <v>14881</v>
      </c>
      <c r="D17" s="4">
        <f t="shared" ref="D17:J17" si="15">D15-D16</f>
        <v>0</v>
      </c>
      <c r="E17" s="4">
        <f t="shared" si="15"/>
        <v>0</v>
      </c>
      <c r="F17" s="4">
        <f t="shared" si="15"/>
        <v>39300</v>
      </c>
      <c r="G17" s="4">
        <f t="shared" si="15"/>
        <v>18689</v>
      </c>
      <c r="H17" s="4">
        <f t="shared" si="15"/>
        <v>20395.288</v>
      </c>
      <c r="I17" s="4">
        <f t="shared" si="15"/>
        <v>23706.878751999997</v>
      </c>
      <c r="J17" s="4">
        <f t="shared" si="15"/>
        <v>27302.187506047998</v>
      </c>
      <c r="L17" s="4">
        <f>L15-L16</f>
        <v>0</v>
      </c>
      <c r="M17" s="4">
        <f>M15-M16</f>
        <v>0</v>
      </c>
      <c r="N17" s="4">
        <f t="shared" ref="N17:Q17" si="16">N15-N16</f>
        <v>0</v>
      </c>
      <c r="O17" s="4">
        <f t="shared" si="16"/>
        <v>5721</v>
      </c>
      <c r="P17" s="4">
        <f t="shared" si="16"/>
        <v>29760</v>
      </c>
      <c r="Q17" s="4">
        <f t="shared" si="16"/>
        <v>72880</v>
      </c>
      <c r="R17" s="4">
        <f>R15-R16</f>
        <v>90093.354258047984</v>
      </c>
      <c r="S17" s="4">
        <f t="shared" ref="S17:V17" si="17">S15-S16</f>
        <v>134257.73365238015</v>
      </c>
      <c r="T17" s="4">
        <f t="shared" si="17"/>
        <v>193117.04520734775</v>
      </c>
      <c r="U17" s="4">
        <f t="shared" si="17"/>
        <v>277870.17202145944</v>
      </c>
      <c r="V17" s="4">
        <f t="shared" si="17"/>
        <v>399910.30717223801</v>
      </c>
      <c r="W17" s="4">
        <f t="shared" ref="W17:BB17" si="18">V17*(1+$Y$55)</f>
        <v>403909.41024396039</v>
      </c>
      <c r="X17" s="4">
        <f t="shared" si="18"/>
        <v>407948.50434639998</v>
      </c>
      <c r="Y17" s="4">
        <f t="shared" si="18"/>
        <v>412027.98938986397</v>
      </c>
      <c r="Z17" s="4">
        <f t="shared" si="18"/>
        <v>416148.26928376261</v>
      </c>
      <c r="AA17" s="4">
        <f t="shared" si="18"/>
        <v>420309.75197660027</v>
      </c>
      <c r="AB17" s="4">
        <f t="shared" si="18"/>
        <v>424512.84949636628</v>
      </c>
      <c r="AC17" s="4">
        <f t="shared" si="18"/>
        <v>428757.97799132997</v>
      </c>
      <c r="AD17" s="4">
        <f t="shared" si="18"/>
        <v>433045.55777124327</v>
      </c>
      <c r="AE17" s="4">
        <f t="shared" si="18"/>
        <v>437376.01334895572</v>
      </c>
      <c r="AF17" s="4">
        <f t="shared" si="18"/>
        <v>441749.77348244528</v>
      </c>
      <c r="AG17" s="4">
        <f t="shared" si="18"/>
        <v>446167.27121726971</v>
      </c>
      <c r="AH17" s="4">
        <f t="shared" si="18"/>
        <v>450628.94392944238</v>
      </c>
      <c r="AI17" s="4">
        <f t="shared" si="18"/>
        <v>455135.23336873681</v>
      </c>
      <c r="AJ17" s="4">
        <f t="shared" si="18"/>
        <v>459686.58570242417</v>
      </c>
      <c r="AK17" s="4">
        <f t="shared" si="18"/>
        <v>464283.45155944844</v>
      </c>
      <c r="AL17" s="4">
        <f t="shared" si="18"/>
        <v>468926.28607504291</v>
      </c>
      <c r="AM17" s="4">
        <f t="shared" si="18"/>
        <v>473615.54893579334</v>
      </c>
      <c r="AN17" s="4">
        <f t="shared" si="18"/>
        <v>478351.70442515129</v>
      </c>
      <c r="AO17" s="4">
        <f t="shared" si="18"/>
        <v>483135.22146940278</v>
      </c>
      <c r="AP17" s="4">
        <f t="shared" si="18"/>
        <v>487966.5736840968</v>
      </c>
      <c r="AQ17" s="4">
        <f t="shared" si="18"/>
        <v>492846.23942093778</v>
      </c>
      <c r="AR17" s="4">
        <f t="shared" si="18"/>
        <v>497774.70181514719</v>
      </c>
      <c r="AS17" s="4">
        <f t="shared" si="18"/>
        <v>502752.44883329864</v>
      </c>
      <c r="AT17" s="4">
        <f t="shared" si="18"/>
        <v>507779.97332163161</v>
      </c>
      <c r="AU17" s="4">
        <f t="shared" si="18"/>
        <v>512857.7730548479</v>
      </c>
      <c r="AV17" s="4">
        <f t="shared" si="18"/>
        <v>517986.35078539641</v>
      </c>
      <c r="AW17" s="4">
        <f t="shared" si="18"/>
        <v>523166.21429325041</v>
      </c>
      <c r="AX17" s="4">
        <f t="shared" si="18"/>
        <v>528397.87643618288</v>
      </c>
      <c r="AY17" s="4">
        <f t="shared" si="18"/>
        <v>533681.8552005447</v>
      </c>
      <c r="AZ17" s="4">
        <f t="shared" si="18"/>
        <v>539018.67375255015</v>
      </c>
      <c r="BA17" s="4">
        <f t="shared" si="18"/>
        <v>544408.86049007566</v>
      </c>
      <c r="BB17" s="4">
        <f t="shared" si="18"/>
        <v>549852.94909497641</v>
      </c>
      <c r="BC17" s="4">
        <f t="shared" ref="BC17:CH17" si="19">BB17*(1+$Y$55)</f>
        <v>555351.47858592623</v>
      </c>
      <c r="BD17" s="4">
        <f t="shared" si="19"/>
        <v>560904.9933717855</v>
      </c>
      <c r="BE17" s="4">
        <f t="shared" si="19"/>
        <v>566514.04330550332</v>
      </c>
      <c r="BF17" s="4">
        <f t="shared" si="19"/>
        <v>572179.18373855832</v>
      </c>
      <c r="BG17" s="4">
        <f t="shared" si="19"/>
        <v>577900.97557594394</v>
      </c>
      <c r="BH17" s="4">
        <f t="shared" si="19"/>
        <v>583679.98533170344</v>
      </c>
      <c r="BI17" s="4">
        <f t="shared" si="19"/>
        <v>589516.78518502053</v>
      </c>
      <c r="BJ17" s="4">
        <f t="shared" si="19"/>
        <v>595411.95303687069</v>
      </c>
      <c r="BK17" s="4">
        <f t="shared" si="19"/>
        <v>601366.0725672394</v>
      </c>
      <c r="BL17" s="4">
        <f t="shared" si="19"/>
        <v>607379.73329291178</v>
      </c>
      <c r="BM17" s="4">
        <f t="shared" si="19"/>
        <v>613453.53062584088</v>
      </c>
      <c r="BN17" s="4">
        <f t="shared" si="19"/>
        <v>619588.06593209924</v>
      </c>
      <c r="BO17" s="4">
        <f t="shared" si="19"/>
        <v>625783.94659142022</v>
      </c>
      <c r="BP17" s="4">
        <f t="shared" si="19"/>
        <v>632041.78605733439</v>
      </c>
      <c r="BQ17" s="4">
        <f t="shared" si="19"/>
        <v>638362.20391790778</v>
      </c>
      <c r="BR17" s="4">
        <f t="shared" si="19"/>
        <v>644745.82595708687</v>
      </c>
      <c r="BS17" s="4">
        <f t="shared" si="19"/>
        <v>651193.28421665775</v>
      </c>
      <c r="BT17" s="4">
        <f t="shared" si="19"/>
        <v>657705.21705882438</v>
      </c>
      <c r="BU17" s="4">
        <f t="shared" si="19"/>
        <v>664282.26922941266</v>
      </c>
      <c r="BV17" s="4">
        <f t="shared" si="19"/>
        <v>670925.0919217068</v>
      </c>
      <c r="BW17" s="4">
        <f t="shared" si="19"/>
        <v>677634.34284092393</v>
      </c>
      <c r="BX17" s="4">
        <f t="shared" si="19"/>
        <v>684410.68626933312</v>
      </c>
      <c r="BY17" s="4">
        <f t="shared" si="19"/>
        <v>691254.79313202645</v>
      </c>
      <c r="BZ17" s="4">
        <f t="shared" si="19"/>
        <v>698167.34106334671</v>
      </c>
      <c r="CA17" s="4">
        <f t="shared" si="19"/>
        <v>705149.01447398018</v>
      </c>
      <c r="CB17" s="4">
        <f t="shared" si="19"/>
        <v>712200.50461872004</v>
      </c>
      <c r="CC17" s="4">
        <f t="shared" si="19"/>
        <v>719322.50966490724</v>
      </c>
      <c r="CD17" s="4">
        <f t="shared" si="19"/>
        <v>726515.73476155626</v>
      </c>
      <c r="CE17" s="4">
        <f t="shared" si="19"/>
        <v>733780.89210917184</v>
      </c>
      <c r="CF17" s="4">
        <f t="shared" si="19"/>
        <v>741118.70103026356</v>
      </c>
      <c r="CG17" s="4">
        <f t="shared" si="19"/>
        <v>748529.88804056623</v>
      </c>
      <c r="CH17" s="4">
        <f t="shared" si="19"/>
        <v>756015.18692097196</v>
      </c>
      <c r="CI17" s="4">
        <f t="shared" ref="CI17:DN17" si="20">CH17*(1+$Y$55)</f>
        <v>763575.33879018167</v>
      </c>
      <c r="CJ17" s="4">
        <f t="shared" si="20"/>
        <v>771211.09217808349</v>
      </c>
      <c r="CK17" s="4">
        <f t="shared" si="20"/>
        <v>778923.2030998643</v>
      </c>
      <c r="CL17" s="4">
        <f t="shared" si="20"/>
        <v>786712.43513086298</v>
      </c>
      <c r="CM17" s="4">
        <f t="shared" si="20"/>
        <v>794579.55948217167</v>
      </c>
      <c r="CN17" s="4">
        <f t="shared" si="20"/>
        <v>802525.35507699335</v>
      </c>
      <c r="CO17" s="4">
        <f t="shared" si="20"/>
        <v>810550.60862776334</v>
      </c>
      <c r="CP17" s="4">
        <f t="shared" si="20"/>
        <v>818656.114714041</v>
      </c>
      <c r="CQ17" s="4">
        <f t="shared" si="20"/>
        <v>826842.67586118146</v>
      </c>
      <c r="CR17" s="4">
        <f t="shared" si="20"/>
        <v>835111.10261979327</v>
      </c>
      <c r="CS17" s="4">
        <f t="shared" si="20"/>
        <v>843462.21364599117</v>
      </c>
      <c r="CT17" s="4">
        <f t="shared" si="20"/>
        <v>851896.83578245109</v>
      </c>
      <c r="CU17" s="4">
        <f t="shared" si="20"/>
        <v>860415.80414027558</v>
      </c>
      <c r="CV17" s="4">
        <f t="shared" si="20"/>
        <v>869019.96218167839</v>
      </c>
      <c r="CW17" s="4">
        <f t="shared" si="20"/>
        <v>877710.16180349514</v>
      </c>
      <c r="CX17" s="4">
        <f t="shared" si="20"/>
        <v>886487.26342153014</v>
      </c>
      <c r="CY17" s="4">
        <f t="shared" si="20"/>
        <v>895352.13605574542</v>
      </c>
      <c r="CZ17" s="4">
        <f t="shared" si="20"/>
        <v>904305.65741630283</v>
      </c>
      <c r="DA17" s="4">
        <f t="shared" si="20"/>
        <v>913348.71399046585</v>
      </c>
      <c r="DB17" s="4">
        <f t="shared" si="20"/>
        <v>922482.20113037049</v>
      </c>
      <c r="DC17" s="4">
        <f t="shared" si="20"/>
        <v>931707.02314167423</v>
      </c>
      <c r="DD17" s="4">
        <f t="shared" si="20"/>
        <v>941024.09337309096</v>
      </c>
      <c r="DE17" s="4">
        <f t="shared" si="20"/>
        <v>950434.33430682193</v>
      </c>
      <c r="DF17" s="4">
        <f t="shared" si="20"/>
        <v>959938.67764989019</v>
      </c>
      <c r="DG17" s="4">
        <f t="shared" si="20"/>
        <v>969538.06442638906</v>
      </c>
      <c r="DH17" s="4">
        <f t="shared" si="20"/>
        <v>979233.44507065299</v>
      </c>
      <c r="DI17" s="4">
        <f t="shared" si="20"/>
        <v>989025.77952135948</v>
      </c>
      <c r="DJ17" s="4">
        <f t="shared" si="20"/>
        <v>998916.03731657309</v>
      </c>
      <c r="DK17" s="4">
        <f t="shared" si="20"/>
        <v>1008905.1976897388</v>
      </c>
      <c r="DL17" s="4">
        <f t="shared" si="20"/>
        <v>1018994.2496666362</v>
      </c>
      <c r="DM17" s="4">
        <f t="shared" si="20"/>
        <v>1029184.1921633026</v>
      </c>
      <c r="DN17" s="4">
        <f t="shared" si="20"/>
        <v>1039476.0340849356</v>
      </c>
      <c r="DO17" s="4">
        <f t="shared" ref="DO17:EM17" si="21">DN17*(1+$Y$55)</f>
        <v>1049870.7944257848</v>
      </c>
      <c r="DP17" s="4">
        <f t="shared" si="21"/>
        <v>1060369.5023700427</v>
      </c>
      <c r="DQ17" s="4">
        <f t="shared" si="21"/>
        <v>1070973.1973937431</v>
      </c>
      <c r="DR17" s="4">
        <f t="shared" si="21"/>
        <v>1081682.9293676806</v>
      </c>
      <c r="DS17" s="4">
        <f t="shared" si="21"/>
        <v>1092499.7586613575</v>
      </c>
      <c r="DT17" s="4">
        <f t="shared" si="21"/>
        <v>1103424.756247971</v>
      </c>
      <c r="DU17" s="4">
        <f t="shared" si="21"/>
        <v>1114459.0038104507</v>
      </c>
      <c r="DV17" s="4">
        <f t="shared" si="21"/>
        <v>1125603.5938485551</v>
      </c>
      <c r="DW17" s="4">
        <f t="shared" si="21"/>
        <v>1136859.6297870406</v>
      </c>
      <c r="DX17" s="4">
        <f t="shared" si="21"/>
        <v>1148228.226084911</v>
      </c>
      <c r="DY17" s="4">
        <f t="shared" si="21"/>
        <v>1159710.5083457602</v>
      </c>
      <c r="DZ17" s="4">
        <f t="shared" si="21"/>
        <v>1171307.6134292178</v>
      </c>
      <c r="EA17" s="4">
        <f t="shared" si="21"/>
        <v>1183020.68956351</v>
      </c>
      <c r="EB17" s="4">
        <f t="shared" si="21"/>
        <v>1194850.896459145</v>
      </c>
      <c r="EC17" s="4">
        <f t="shared" si="21"/>
        <v>1206799.4054237364</v>
      </c>
      <c r="ED17" s="4">
        <f t="shared" si="21"/>
        <v>1218867.3994779738</v>
      </c>
      <c r="EE17" s="4">
        <f t="shared" si="21"/>
        <v>1231056.0734727536</v>
      </c>
      <c r="EF17" s="4">
        <f t="shared" si="21"/>
        <v>1243366.6342074813</v>
      </c>
      <c r="EG17" s="4">
        <f t="shared" si="21"/>
        <v>1255800.300549556</v>
      </c>
      <c r="EH17" s="4">
        <f t="shared" si="21"/>
        <v>1268358.3035550516</v>
      </c>
      <c r="EI17" s="4">
        <f t="shared" si="21"/>
        <v>1281041.8865906021</v>
      </c>
      <c r="EJ17" s="4">
        <f t="shared" si="21"/>
        <v>1293852.3054565082</v>
      </c>
      <c r="EK17" s="4">
        <f t="shared" si="21"/>
        <v>1306790.8285110733</v>
      </c>
      <c r="EL17" s="4">
        <f t="shared" si="21"/>
        <v>1319858.736796184</v>
      </c>
      <c r="EM17" s="4">
        <f t="shared" si="21"/>
        <v>1333057.3241641459</v>
      </c>
    </row>
    <row r="18" spans="1:143" x14ac:dyDescent="0.2">
      <c r="B18" s="2" t="s">
        <v>1</v>
      </c>
      <c r="C18" s="2">
        <v>24890</v>
      </c>
      <c r="G18" s="2">
        <v>24611</v>
      </c>
      <c r="H18" s="2">
        <f>G18*0.995</f>
        <v>24487.945</v>
      </c>
      <c r="I18" s="2">
        <f t="shared" ref="I18:J18" si="22">H18*0.995</f>
        <v>24365.505275</v>
      </c>
      <c r="J18" s="2">
        <f t="shared" si="22"/>
        <v>24243.677748624999</v>
      </c>
      <c r="O18" s="2">
        <v>25070</v>
      </c>
      <c r="P18" s="2">
        <v>24940</v>
      </c>
      <c r="Q18" s="2">
        <v>24400</v>
      </c>
      <c r="R18" s="2">
        <f>J18</f>
        <v>24243.677748624999</v>
      </c>
      <c r="S18" s="2">
        <f t="shared" ref="S18:V18" si="23">R18*0.99</f>
        <v>24001.240971138748</v>
      </c>
      <c r="T18" s="2">
        <f t="shared" si="23"/>
        <v>23761.228561427361</v>
      </c>
      <c r="U18" s="2">
        <f t="shared" si="23"/>
        <v>23523.616275813085</v>
      </c>
      <c r="V18" s="2">
        <f t="shared" si="23"/>
        <v>23288.380113054955</v>
      </c>
    </row>
    <row r="19" spans="1:143" x14ac:dyDescent="0.2">
      <c r="B19" s="2" t="s">
        <v>19</v>
      </c>
      <c r="C19" s="5">
        <f>C17/C18</f>
        <v>0.5978706307754118</v>
      </c>
      <c r="D19" s="5" t="e">
        <f t="shared" ref="D19:J19" si="24">D17/D18</f>
        <v>#DIV/0!</v>
      </c>
      <c r="E19" s="5" t="e">
        <f t="shared" si="24"/>
        <v>#DIV/0!</v>
      </c>
      <c r="F19" s="5" t="e">
        <f t="shared" si="24"/>
        <v>#DIV/0!</v>
      </c>
      <c r="G19" s="5">
        <f t="shared" si="24"/>
        <v>0.75937588883019791</v>
      </c>
      <c r="H19" s="5">
        <f t="shared" si="24"/>
        <v>0.83287054099476299</v>
      </c>
      <c r="I19" s="5">
        <f t="shared" si="24"/>
        <v>0.9729688953474821</v>
      </c>
      <c r="J19" s="5">
        <f t="shared" si="24"/>
        <v>1.1261570042769795</v>
      </c>
      <c r="O19" s="5">
        <f>O17/O18</f>
        <v>0.22820103709613082</v>
      </c>
      <c r="P19" s="5">
        <f>P17/P18</f>
        <v>1.1932638331996792</v>
      </c>
      <c r="Q19" s="5">
        <f>Q17/Q18</f>
        <v>2.9868852459016395</v>
      </c>
      <c r="R19" s="5">
        <f t="shared" ref="R19:V19" si="25">R17/R18</f>
        <v>3.7161587112399936</v>
      </c>
      <c r="S19" s="5">
        <f t="shared" si="25"/>
        <v>5.5937829970468496</v>
      </c>
      <c r="T19" s="5">
        <f t="shared" si="25"/>
        <v>8.1274015233725372</v>
      </c>
      <c r="U19" s="5">
        <f t="shared" si="25"/>
        <v>11.812391800794879</v>
      </c>
      <c r="V19" s="5">
        <f t="shared" si="25"/>
        <v>17.172096351521549</v>
      </c>
    </row>
    <row r="20" spans="1:143" x14ac:dyDescent="0.2">
      <c r="K20" s="5"/>
      <c r="O20" s="6"/>
      <c r="P20" s="6"/>
      <c r="Q20" s="6"/>
      <c r="R20" s="6"/>
      <c r="S20" s="6"/>
      <c r="T20" s="6"/>
      <c r="U20" s="6"/>
      <c r="V20" s="6"/>
    </row>
    <row r="21" spans="1:143" s="4" customFormat="1" x14ac:dyDescent="0.2">
      <c r="B21" s="4" t="s">
        <v>20</v>
      </c>
      <c r="G21" s="7">
        <f>G6/C6-1</f>
        <v>0.68852710797112571</v>
      </c>
      <c r="H21" s="7" t="e">
        <f t="shared" ref="H21:J21" si="26">H6/D6-1</f>
        <v>#DIV/0!</v>
      </c>
      <c r="I21" s="7" t="e">
        <f t="shared" si="26"/>
        <v>#DIV/0!</v>
      </c>
      <c r="J21" s="7">
        <f t="shared" si="26"/>
        <v>0.48136386768447825</v>
      </c>
      <c r="M21" s="7" t="e">
        <f t="shared" ref="M21:V21" si="27">M6/L6-1</f>
        <v>#DIV/0!</v>
      </c>
      <c r="N21" s="7" t="e">
        <f t="shared" si="27"/>
        <v>#DIV/0!</v>
      </c>
      <c r="O21" s="7" t="e">
        <f t="shared" si="27"/>
        <v>#DIV/0!</v>
      </c>
      <c r="P21" s="7">
        <f t="shared" si="27"/>
        <v>1.2585452658115224</v>
      </c>
      <c r="Q21" s="7">
        <f t="shared" si="27"/>
        <v>1.1420340763599355</v>
      </c>
      <c r="R21" s="7">
        <f t="shared" si="27"/>
        <v>0.53393258082561279</v>
      </c>
      <c r="S21" s="7">
        <f t="shared" si="27"/>
        <v>0.43999999999999995</v>
      </c>
      <c r="T21" s="7">
        <f t="shared" si="27"/>
        <v>0.43999999999999995</v>
      </c>
      <c r="U21" s="7">
        <f t="shared" si="27"/>
        <v>0.43999999999999995</v>
      </c>
      <c r="V21" s="7">
        <f t="shared" si="27"/>
        <v>0.43999999999999995</v>
      </c>
    </row>
    <row r="22" spans="1:143" x14ac:dyDescent="0.2">
      <c r="B22" s="2" t="s">
        <v>21</v>
      </c>
      <c r="G22" s="6">
        <f>G6/F6-1</f>
        <v>0.11898218829516538</v>
      </c>
      <c r="H22" s="6">
        <f t="shared" ref="H22:J22" si="28">H6/G6-1</f>
        <v>4.6025104602510414E-2</v>
      </c>
      <c r="I22" s="6">
        <f t="shared" si="28"/>
        <v>0.12999999999999989</v>
      </c>
      <c r="J22" s="6">
        <f t="shared" si="28"/>
        <v>0.12000000000000011</v>
      </c>
    </row>
    <row r="24" spans="1:143" s="4" customFormat="1" x14ac:dyDescent="0.2">
      <c r="B24" s="4" t="s">
        <v>22</v>
      </c>
      <c r="C24" s="7">
        <f>C8/C6</f>
        <v>0.78352019659038552</v>
      </c>
      <c r="D24" s="7" t="e">
        <f>D8/D6</f>
        <v>#DIV/0!</v>
      </c>
      <c r="E24" s="7" t="e">
        <f>E8/E6</f>
        <v>#DIV/0!</v>
      </c>
      <c r="F24" s="7">
        <f>F8/F6</f>
        <v>1</v>
      </c>
      <c r="G24" s="7">
        <f>G8/G6</f>
        <v>0.604466072403129</v>
      </c>
      <c r="H24" s="7">
        <v>0.72</v>
      </c>
      <c r="I24" s="7">
        <f>H24*1.02</f>
        <v>0.73439999999999994</v>
      </c>
      <c r="J24" s="7">
        <f>I24*1.02</f>
        <v>0.74908799999999998</v>
      </c>
      <c r="M24" s="7" t="e">
        <f t="shared" ref="M24:R24" si="29">M8/M6</f>
        <v>#DIV/0!</v>
      </c>
      <c r="N24" s="7" t="e">
        <f t="shared" si="29"/>
        <v>#DIV/0!</v>
      </c>
      <c r="O24" s="7">
        <f t="shared" si="29"/>
        <v>0.56928894490991322</v>
      </c>
      <c r="P24" s="7">
        <f t="shared" si="29"/>
        <v>0.72717573290436954</v>
      </c>
      <c r="Q24" s="7">
        <f t="shared" si="29"/>
        <v>0.74988697058169917</v>
      </c>
      <c r="R24" s="7">
        <f t="shared" si="29"/>
        <v>0.70681757009315904</v>
      </c>
      <c r="S24" s="7">
        <v>0.74</v>
      </c>
      <c r="T24" s="7">
        <v>0.74</v>
      </c>
      <c r="U24" s="7">
        <v>0.74</v>
      </c>
      <c r="V24" s="7">
        <v>0.74</v>
      </c>
    </row>
    <row r="25" spans="1:143" x14ac:dyDescent="0.2">
      <c r="A25" s="4"/>
      <c r="B25" s="2" t="s">
        <v>40</v>
      </c>
      <c r="C25" s="6">
        <f t="shared" ref="C25:J25" si="30">C12/C6</f>
        <v>0.64924742743050223</v>
      </c>
      <c r="D25" s="6" t="e">
        <f t="shared" si="30"/>
        <v>#DIV/0!</v>
      </c>
      <c r="E25" s="6" t="e">
        <f t="shared" si="30"/>
        <v>#DIV/0!</v>
      </c>
      <c r="F25" s="6">
        <f t="shared" si="30"/>
        <v>1</v>
      </c>
      <c r="G25" s="6">
        <f t="shared" si="30"/>
        <v>0.49008550118246313</v>
      </c>
      <c r="H25" s="6">
        <f t="shared" si="30"/>
        <v>0.55000000000000004</v>
      </c>
      <c r="I25" s="6">
        <f t="shared" si="30"/>
        <v>0.56440000000000001</v>
      </c>
      <c r="J25" s="6">
        <f t="shared" si="30"/>
        <v>0.57908800000000005</v>
      </c>
      <c r="M25" s="6"/>
      <c r="N25" s="6"/>
      <c r="O25" s="6">
        <f t="shared" ref="O25:V25" si="31">O12/O6</f>
        <v>0.20675465262845702</v>
      </c>
      <c r="P25" s="6">
        <f t="shared" si="31"/>
        <v>0.54121663766783756</v>
      </c>
      <c r="Q25" s="6">
        <f t="shared" si="31"/>
        <v>0.62417526839697468</v>
      </c>
      <c r="R25" s="6">
        <f t="shared" si="31"/>
        <v>0.5490365640064423</v>
      </c>
      <c r="S25" s="6">
        <f t="shared" si="31"/>
        <v>0.57999999999999996</v>
      </c>
      <c r="T25" s="6">
        <f t="shared" si="31"/>
        <v>0.57999999999999996</v>
      </c>
      <c r="U25" s="6">
        <f t="shared" si="31"/>
        <v>0.57999999999999996</v>
      </c>
      <c r="V25" s="6">
        <f t="shared" si="31"/>
        <v>0.58000000000000007</v>
      </c>
    </row>
    <row r="26" spans="1:143" s="4" customFormat="1" x14ac:dyDescent="0.2">
      <c r="B26" s="2" t="s">
        <v>47</v>
      </c>
      <c r="C26" s="6">
        <f>C11/C6</f>
        <v>0.13427276915988329</v>
      </c>
      <c r="D26" s="6" t="e">
        <f>D11/D6</f>
        <v>#DIV/0!</v>
      </c>
      <c r="E26" s="6" t="e">
        <f>E11/E6</f>
        <v>#DIV/0!</v>
      </c>
      <c r="F26" s="6">
        <f>F11/F6</f>
        <v>0</v>
      </c>
      <c r="G26" s="6">
        <f>G11/G6</f>
        <v>0.11438057122066582</v>
      </c>
      <c r="H26" s="6">
        <v>0.17</v>
      </c>
      <c r="I26" s="6">
        <v>0.17</v>
      </c>
      <c r="J26" s="6">
        <v>0.17</v>
      </c>
      <c r="M26" s="7"/>
      <c r="N26" s="7"/>
      <c r="O26" s="6">
        <f>O11/O6</f>
        <v>0.36253429228145623</v>
      </c>
      <c r="P26" s="6">
        <f>P11/P6</f>
        <v>0.18595909523653195</v>
      </c>
      <c r="Q26" s="6">
        <f>Q11/Q6</f>
        <v>0.12571170218472455</v>
      </c>
      <c r="R26" s="6">
        <f>R11/R6</f>
        <v>0.15778100608671672</v>
      </c>
      <c r="S26" s="6">
        <v>0.16</v>
      </c>
      <c r="T26" s="6">
        <v>0.16</v>
      </c>
      <c r="U26" s="6">
        <v>0.16</v>
      </c>
      <c r="V26" s="6">
        <v>0.16</v>
      </c>
    </row>
    <row r="27" spans="1:143" s="4" customFormat="1" x14ac:dyDescent="0.2">
      <c r="B27" s="2" t="s">
        <v>48</v>
      </c>
      <c r="H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9" spans="1:143" x14ac:dyDescent="0.2">
      <c r="B29" s="2" t="s">
        <v>27</v>
      </c>
      <c r="C29" s="2">
        <f>C31-C37</f>
        <v>44747</v>
      </c>
      <c r="G29" s="2">
        <f>G31-SUM(G37:G39)</f>
        <v>38822</v>
      </c>
      <c r="H29" s="2">
        <f>G29+H17</f>
        <v>59217.288</v>
      </c>
      <c r="I29" s="2">
        <f>H29+I17</f>
        <v>82924.16675199999</v>
      </c>
      <c r="J29" s="2">
        <f>I29+J17</f>
        <v>110226.35425804798</v>
      </c>
      <c r="Q29" s="2">
        <f>Q31-Q37</f>
        <v>30502</v>
      </c>
      <c r="R29" s="2">
        <f>Q29+R13</f>
        <v>31858.81727376</v>
      </c>
      <c r="S29" s="2">
        <f>R29+S13</f>
        <v>32495.9936192352</v>
      </c>
      <c r="T29" s="2">
        <f>S29+T13</f>
        <v>33145.913491619904</v>
      </c>
      <c r="U29" s="2">
        <f>T29+U13</f>
        <v>33808.831761452304</v>
      </c>
      <c r="V29" s="2">
        <f>U29+V13</f>
        <v>34485.008396681347</v>
      </c>
    </row>
    <row r="30" spans="1:143" x14ac:dyDescent="0.2">
      <c r="R30" s="6"/>
      <c r="S30" s="6"/>
      <c r="T30" s="6"/>
      <c r="U30" s="6"/>
      <c r="V30" s="6"/>
    </row>
    <row r="31" spans="1:143" x14ac:dyDescent="0.2">
      <c r="B31" s="2" t="s">
        <v>3</v>
      </c>
      <c r="C31" s="2">
        <v>53210</v>
      </c>
      <c r="G31" s="2">
        <v>53691</v>
      </c>
      <c r="Q31" s="2">
        <f>8589+34621</f>
        <v>43210</v>
      </c>
    </row>
    <row r="32" spans="1:143" x14ac:dyDescent="0.2">
      <c r="B32" s="2" t="s">
        <v>28</v>
      </c>
      <c r="C32" s="2">
        <v>23065</v>
      </c>
      <c r="G32" s="2">
        <v>22132</v>
      </c>
    </row>
    <row r="33" spans="1:22" x14ac:dyDescent="0.2">
      <c r="B33" s="2" t="s">
        <v>67</v>
      </c>
      <c r="C33" s="2">
        <v>10080</v>
      </c>
      <c r="G33" s="2">
        <v>11333</v>
      </c>
    </row>
    <row r="34" spans="1:22" x14ac:dyDescent="0.2">
      <c r="B34" s="2" t="s">
        <v>73</v>
      </c>
    </row>
    <row r="36" spans="1:22" x14ac:dyDescent="0.2">
      <c r="B36" s="2" t="s">
        <v>29</v>
      </c>
    </row>
    <row r="37" spans="1:22" x14ac:dyDescent="0.2">
      <c r="B37" s="2" t="s">
        <v>4</v>
      </c>
      <c r="C37" s="2">
        <v>8463</v>
      </c>
      <c r="G37" s="2">
        <v>8464</v>
      </c>
      <c r="Q37" s="2">
        <f>8463+4245</f>
        <v>12708</v>
      </c>
    </row>
    <row r="38" spans="1:22" x14ac:dyDescent="0.2">
      <c r="B38" s="2" t="s">
        <v>68</v>
      </c>
      <c r="C38" s="2">
        <v>1519</v>
      </c>
      <c r="G38" s="2">
        <v>1521</v>
      </c>
    </row>
    <row r="39" spans="1:22" x14ac:dyDescent="0.2">
      <c r="B39" s="2" t="s">
        <v>69</v>
      </c>
      <c r="C39" s="2">
        <v>4245</v>
      </c>
      <c r="G39" s="2">
        <v>4884</v>
      </c>
    </row>
    <row r="40" spans="1:22" x14ac:dyDescent="0.2">
      <c r="B40" s="2" t="s">
        <v>72</v>
      </c>
    </row>
    <row r="41" spans="1:22" x14ac:dyDescent="0.2">
      <c r="B41" s="2" t="s">
        <v>71</v>
      </c>
    </row>
    <row r="42" spans="1:22" x14ac:dyDescent="0.2">
      <c r="B42" s="2" t="s">
        <v>70</v>
      </c>
    </row>
    <row r="44" spans="1:22" x14ac:dyDescent="0.2">
      <c r="B44" s="2" t="s">
        <v>35</v>
      </c>
      <c r="M44" s="2">
        <f t="shared" ref="M44:V44" si="32">M17</f>
        <v>0</v>
      </c>
      <c r="N44" s="2">
        <f t="shared" si="32"/>
        <v>0</v>
      </c>
      <c r="O44" s="2">
        <f t="shared" si="32"/>
        <v>5721</v>
      </c>
      <c r="P44" s="2">
        <f t="shared" si="32"/>
        <v>29760</v>
      </c>
      <c r="Q44" s="2">
        <f t="shared" si="32"/>
        <v>72880</v>
      </c>
      <c r="R44" s="2">
        <f t="shared" si="32"/>
        <v>90093.354258047984</v>
      </c>
      <c r="S44" s="2">
        <f t="shared" si="32"/>
        <v>134257.73365238015</v>
      </c>
      <c r="T44" s="2">
        <f t="shared" si="32"/>
        <v>193117.04520734775</v>
      </c>
      <c r="U44" s="2">
        <f t="shared" si="32"/>
        <v>277870.17202145944</v>
      </c>
      <c r="V44" s="2">
        <f t="shared" si="32"/>
        <v>399910.30717223801</v>
      </c>
    </row>
    <row r="45" spans="1:22" x14ac:dyDescent="0.2">
      <c r="B45" s="2" t="s">
        <v>36</v>
      </c>
      <c r="O45" s="2">
        <v>4368</v>
      </c>
      <c r="P45" s="2">
        <v>29760</v>
      </c>
      <c r="Q45" s="2">
        <v>72880</v>
      </c>
    </row>
    <row r="46" spans="1:22" x14ac:dyDescent="0.2">
      <c r="B46" s="2" t="s">
        <v>75</v>
      </c>
      <c r="P46" s="2">
        <v>3549</v>
      </c>
      <c r="Q46" s="2">
        <v>4737</v>
      </c>
      <c r="R46" s="2">
        <f>Q46*1.2</f>
        <v>5684.4</v>
      </c>
      <c r="S46" s="2">
        <f t="shared" ref="S46:V46" si="33">R46*1.2</f>
        <v>6821.28</v>
      </c>
      <c r="T46" s="2">
        <f t="shared" si="33"/>
        <v>8185.5359999999991</v>
      </c>
      <c r="U46" s="2">
        <f t="shared" si="33"/>
        <v>9822.6431999999986</v>
      </c>
      <c r="V46" s="2">
        <f t="shared" si="33"/>
        <v>11787.171839999997</v>
      </c>
    </row>
    <row r="47" spans="1:22" s="4" customFormat="1" x14ac:dyDescent="0.2">
      <c r="A47" s="2"/>
      <c r="B47" s="2" t="s">
        <v>76</v>
      </c>
      <c r="P47" s="2">
        <v>1508</v>
      </c>
      <c r="Q47" s="2">
        <v>1864</v>
      </c>
      <c r="R47" s="2">
        <f>Q47*(1+R21)</f>
        <v>2859.2503306589424</v>
      </c>
      <c r="S47" s="2">
        <f>R47*(1+S21)</f>
        <v>4117.3204761488769</v>
      </c>
      <c r="T47" s="2">
        <f>S47*(1+T21)</f>
        <v>5928.9414856543826</v>
      </c>
      <c r="U47" s="2">
        <f>T47*(1+U21)</f>
        <v>8537.6757393423104</v>
      </c>
      <c r="V47" s="2">
        <f>U47*(1+V21)</f>
        <v>12294.253064652927</v>
      </c>
    </row>
    <row r="48" spans="1:22" x14ac:dyDescent="0.2">
      <c r="B48" s="2" t="s">
        <v>77</v>
      </c>
      <c r="P48" s="2">
        <v>-2489</v>
      </c>
      <c r="Q48" s="2">
        <v>-4477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125" x14ac:dyDescent="0.2">
      <c r="B49" s="2" t="s">
        <v>78</v>
      </c>
      <c r="P49" s="2">
        <v>-238</v>
      </c>
      <c r="Q49" s="2">
        <v>-1030</v>
      </c>
      <c r="R49" s="2">
        <v>180</v>
      </c>
      <c r="S49" s="2">
        <v>0</v>
      </c>
      <c r="T49" s="2">
        <v>0</v>
      </c>
      <c r="U49" s="2">
        <v>0</v>
      </c>
      <c r="V49" s="2">
        <v>0</v>
      </c>
    </row>
    <row r="50" spans="1:125" x14ac:dyDescent="0.2">
      <c r="B50" s="2" t="s">
        <v>15</v>
      </c>
      <c r="P50" s="2">
        <v>-278</v>
      </c>
      <c r="Q50" s="2">
        <v>-502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125" x14ac:dyDescent="0.2">
      <c r="B51" s="2" t="s">
        <v>28</v>
      </c>
      <c r="P51" s="2">
        <v>-6172</v>
      </c>
      <c r="Q51" s="2">
        <v>-13063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125" x14ac:dyDescent="0.2">
      <c r="B52" s="2" t="s">
        <v>67</v>
      </c>
      <c r="P52" s="2">
        <v>-98</v>
      </c>
      <c r="Q52" s="2">
        <v>-4781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125" x14ac:dyDescent="0.2">
      <c r="B53" s="2" t="s">
        <v>79</v>
      </c>
      <c r="P53" s="2">
        <v>-1522</v>
      </c>
      <c r="Q53" s="2">
        <v>-395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125" x14ac:dyDescent="0.2">
      <c r="B54" s="2" t="s">
        <v>29</v>
      </c>
      <c r="P54" s="2">
        <v>1531</v>
      </c>
      <c r="Q54" s="2">
        <v>3357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X54" s="2" t="s">
        <v>32</v>
      </c>
      <c r="Y54" s="8">
        <v>0.02</v>
      </c>
    </row>
    <row r="55" spans="1:125" x14ac:dyDescent="0.2">
      <c r="B55" s="2" t="s">
        <v>80</v>
      </c>
      <c r="P55" s="2">
        <v>2025</v>
      </c>
      <c r="Q55" s="2">
        <v>4278</v>
      </c>
      <c r="R55" s="2">
        <f>Q55*(1+R21)</f>
        <v>6562.1635807719713</v>
      </c>
      <c r="S55" s="2">
        <f>R55*(1+S21)</f>
        <v>9449.5155563116386</v>
      </c>
      <c r="T55" s="2">
        <f>S55*(1+T21)</f>
        <v>13607.302401088758</v>
      </c>
      <c r="U55" s="2">
        <f>T55*(1+U21)</f>
        <v>19594.51545756781</v>
      </c>
      <c r="V55" s="2">
        <f>U55*(1+V21)</f>
        <v>28216.102258897645</v>
      </c>
      <c r="X55" s="2" t="s">
        <v>31</v>
      </c>
      <c r="Y55" s="8">
        <v>0.01</v>
      </c>
    </row>
    <row r="56" spans="1:125" x14ac:dyDescent="0.2">
      <c r="B56" s="2" t="s">
        <v>69</v>
      </c>
      <c r="P56" s="2">
        <v>514</v>
      </c>
      <c r="Q56" s="2">
        <v>1221</v>
      </c>
      <c r="R56" s="2">
        <f>Q56*(1+R21)</f>
        <v>1872.9316811880733</v>
      </c>
      <c r="S56" s="2">
        <f>R56*(1+S21)</f>
        <v>2697.0216209108253</v>
      </c>
      <c r="T56" s="2">
        <f>S56*(1+T21)</f>
        <v>3883.7111341115883</v>
      </c>
      <c r="U56" s="2">
        <f>T56*(1+U21)</f>
        <v>5592.5440331206873</v>
      </c>
      <c r="V56" s="2">
        <f>U56*(1+V21)</f>
        <v>8053.2634076937893</v>
      </c>
      <c r="X56" s="2" t="s">
        <v>33</v>
      </c>
      <c r="Y56" s="8">
        <v>9.5000000000000001E-2</v>
      </c>
    </row>
    <row r="57" spans="1:125" x14ac:dyDescent="0.2">
      <c r="B57" s="2" t="s">
        <v>50</v>
      </c>
      <c r="P57" s="2">
        <f>SUM(P45:P56)</f>
        <v>28090</v>
      </c>
      <c r="Q57" s="2">
        <f>SUM(Q45:Q56)</f>
        <v>64089</v>
      </c>
      <c r="R57" s="2">
        <f>SUM(R46:R56,R44)</f>
        <v>107252.09985066697</v>
      </c>
      <c r="S57" s="2">
        <f t="shared" ref="S57:V57" si="34">SUM(S46:S56,S44)</f>
        <v>157342.8713057515</v>
      </c>
      <c r="T57" s="2">
        <f t="shared" si="34"/>
        <v>224722.53622820249</v>
      </c>
      <c r="U57" s="2">
        <f t="shared" si="34"/>
        <v>321417.55045149021</v>
      </c>
      <c r="V57" s="2">
        <f t="shared" si="34"/>
        <v>460261.09774348239</v>
      </c>
      <c r="X57" s="2" t="s">
        <v>30</v>
      </c>
      <c r="Y57" s="2">
        <f>NPV(Y56,R62:DU62)+main!O5-main!O6</f>
        <v>4225039.3827010188</v>
      </c>
    </row>
    <row r="58" spans="1:125" x14ac:dyDescent="0.2">
      <c r="X58" s="2" t="s">
        <v>0</v>
      </c>
      <c r="Y58" s="5">
        <f>Y57/main!O3</f>
        <v>173.15735175004176</v>
      </c>
    </row>
    <row r="59" spans="1:125" x14ac:dyDescent="0.2">
      <c r="B59" s="2" t="s">
        <v>81</v>
      </c>
      <c r="P59" s="2">
        <v>-1069</v>
      </c>
      <c r="Q59" s="2">
        <v>-3236</v>
      </c>
      <c r="X59" s="2" t="s">
        <v>34</v>
      </c>
      <c r="Y59" s="6">
        <f>Y58/main!O2-1</f>
        <v>0.11714420483897903</v>
      </c>
    </row>
    <row r="60" spans="1:125" x14ac:dyDescent="0.2">
      <c r="B60" s="2" t="s">
        <v>82</v>
      </c>
      <c r="P60" s="2">
        <f>P59</f>
        <v>-1069</v>
      </c>
      <c r="Q60" s="2">
        <f>Q59</f>
        <v>-3236</v>
      </c>
      <c r="R60" s="2">
        <f>Q60*(1+R21)</f>
        <v>-4963.8058315516828</v>
      </c>
      <c r="S60" s="2">
        <f>R60*(1+S21)</f>
        <v>-7147.8803974344228</v>
      </c>
      <c r="T60" s="2">
        <f>S60*(1+T21)</f>
        <v>-10292.947772305568</v>
      </c>
      <c r="U60" s="2">
        <f>T60*(1+U21)</f>
        <v>-14821.844792120017</v>
      </c>
      <c r="V60" s="2">
        <f>U60*(1+V21)</f>
        <v>-21343.456500652825</v>
      </c>
    </row>
    <row r="62" spans="1:125" s="4" customFormat="1" x14ac:dyDescent="0.2">
      <c r="A62" s="2"/>
      <c r="B62" s="4" t="s">
        <v>51</v>
      </c>
      <c r="P62" s="4">
        <f>P57+P60</f>
        <v>27021</v>
      </c>
      <c r="Q62" s="4">
        <f>Q57+Q60</f>
        <v>60853</v>
      </c>
      <c r="R62" s="4">
        <f t="shared" ref="R62:V62" si="35">R57+R60</f>
        <v>102288.29401911529</v>
      </c>
      <c r="S62" s="4">
        <f t="shared" si="35"/>
        <v>150194.99090831706</v>
      </c>
      <c r="T62" s="4">
        <f t="shared" si="35"/>
        <v>214429.58845589691</v>
      </c>
      <c r="U62" s="4">
        <f t="shared" si="35"/>
        <v>306595.70565937017</v>
      </c>
      <c r="V62" s="4">
        <f t="shared" si="35"/>
        <v>438917.64124282956</v>
      </c>
      <c r="W62" s="4">
        <f t="shared" ref="W62:BB62" si="36">V62*(1+$Y$55)</f>
        <v>443306.81765525788</v>
      </c>
      <c r="X62" s="4">
        <f t="shared" si="36"/>
        <v>447739.88583181048</v>
      </c>
      <c r="Y62" s="4">
        <f t="shared" si="36"/>
        <v>452217.28469012858</v>
      </c>
      <c r="Z62" s="4">
        <f t="shared" si="36"/>
        <v>456739.45753702987</v>
      </c>
      <c r="AA62" s="4">
        <f t="shared" si="36"/>
        <v>461306.85211240017</v>
      </c>
      <c r="AB62" s="4">
        <f t="shared" si="36"/>
        <v>465919.92063352419</v>
      </c>
      <c r="AC62" s="4">
        <f t="shared" si="36"/>
        <v>470579.11983985943</v>
      </c>
      <c r="AD62" s="4">
        <f t="shared" si="36"/>
        <v>475284.91103825805</v>
      </c>
      <c r="AE62" s="4">
        <f t="shared" si="36"/>
        <v>480037.76014864066</v>
      </c>
      <c r="AF62" s="4">
        <f t="shared" si="36"/>
        <v>484838.13775012706</v>
      </c>
      <c r="AG62" s="4">
        <f t="shared" si="36"/>
        <v>489686.51912762836</v>
      </c>
      <c r="AH62" s="4">
        <f t="shared" si="36"/>
        <v>494583.38431890466</v>
      </c>
      <c r="AI62" s="4">
        <f t="shared" si="36"/>
        <v>499529.21816209372</v>
      </c>
      <c r="AJ62" s="4">
        <f t="shared" si="36"/>
        <v>504524.51034371468</v>
      </c>
      <c r="AK62" s="4">
        <f t="shared" si="36"/>
        <v>509569.75544715184</v>
      </c>
      <c r="AL62" s="4">
        <f t="shared" si="36"/>
        <v>514665.45300162333</v>
      </c>
      <c r="AM62" s="4">
        <f t="shared" si="36"/>
        <v>519812.10753163957</v>
      </c>
      <c r="AN62" s="4">
        <f t="shared" si="36"/>
        <v>525010.22860695596</v>
      </c>
      <c r="AO62" s="4">
        <f t="shared" si="36"/>
        <v>530260.3308930255</v>
      </c>
      <c r="AP62" s="4">
        <f t="shared" si="36"/>
        <v>535562.9342019558</v>
      </c>
      <c r="AQ62" s="4">
        <f t="shared" si="36"/>
        <v>540918.56354397535</v>
      </c>
      <c r="AR62" s="4">
        <f t="shared" si="36"/>
        <v>546327.74917941506</v>
      </c>
      <c r="AS62" s="4">
        <f t="shared" si="36"/>
        <v>551791.02667120926</v>
      </c>
      <c r="AT62" s="4">
        <f t="shared" si="36"/>
        <v>557308.93693792133</v>
      </c>
      <c r="AU62" s="4">
        <f t="shared" si="36"/>
        <v>562882.02630730055</v>
      </c>
      <c r="AV62" s="4">
        <f t="shared" si="36"/>
        <v>568510.84657037351</v>
      </c>
      <c r="AW62" s="4">
        <f t="shared" si="36"/>
        <v>574195.9550360773</v>
      </c>
      <c r="AX62" s="4">
        <f t="shared" si="36"/>
        <v>579937.9145864381</v>
      </c>
      <c r="AY62" s="4">
        <f t="shared" si="36"/>
        <v>585737.2937323025</v>
      </c>
      <c r="AZ62" s="4">
        <f t="shared" si="36"/>
        <v>591594.66666962556</v>
      </c>
      <c r="BA62" s="4">
        <f t="shared" si="36"/>
        <v>597510.61333632178</v>
      </c>
      <c r="BB62" s="4">
        <f t="shared" si="36"/>
        <v>603485.71946968499</v>
      </c>
      <c r="BC62" s="4">
        <f t="shared" ref="BC62:CH62" si="37">BB62*(1+$Y$55)</f>
        <v>609520.57666438189</v>
      </c>
      <c r="BD62" s="4">
        <f t="shared" si="37"/>
        <v>615615.78243102576</v>
      </c>
      <c r="BE62" s="4">
        <f t="shared" si="37"/>
        <v>621771.940255336</v>
      </c>
      <c r="BF62" s="4">
        <f t="shared" si="37"/>
        <v>627989.6596578894</v>
      </c>
      <c r="BG62" s="4">
        <f t="shared" si="37"/>
        <v>634269.55625446828</v>
      </c>
      <c r="BH62" s="4">
        <f t="shared" si="37"/>
        <v>640612.25181701302</v>
      </c>
      <c r="BI62" s="4">
        <f t="shared" si="37"/>
        <v>647018.37433518318</v>
      </c>
      <c r="BJ62" s="4">
        <f t="shared" si="37"/>
        <v>653488.55807853502</v>
      </c>
      <c r="BK62" s="4">
        <f t="shared" si="37"/>
        <v>660023.44365932036</v>
      </c>
      <c r="BL62" s="4">
        <f t="shared" si="37"/>
        <v>666623.67809591361</v>
      </c>
      <c r="BM62" s="4">
        <f t="shared" si="37"/>
        <v>673289.91487687279</v>
      </c>
      <c r="BN62" s="4">
        <f t="shared" si="37"/>
        <v>680022.81402564154</v>
      </c>
      <c r="BO62" s="4">
        <f t="shared" si="37"/>
        <v>686823.0421658979</v>
      </c>
      <c r="BP62" s="4">
        <f t="shared" si="37"/>
        <v>693691.27258755686</v>
      </c>
      <c r="BQ62" s="4">
        <f t="shared" si="37"/>
        <v>700628.18531343248</v>
      </c>
      <c r="BR62" s="4">
        <f t="shared" si="37"/>
        <v>707634.46716656676</v>
      </c>
      <c r="BS62" s="4">
        <f t="shared" si="37"/>
        <v>714710.81183823245</v>
      </c>
      <c r="BT62" s="4">
        <f t="shared" si="37"/>
        <v>721857.91995661473</v>
      </c>
      <c r="BU62" s="4">
        <f t="shared" si="37"/>
        <v>729076.49915618089</v>
      </c>
      <c r="BV62" s="4">
        <f t="shared" si="37"/>
        <v>736367.26414774265</v>
      </c>
      <c r="BW62" s="4">
        <f t="shared" si="37"/>
        <v>743730.93678922008</v>
      </c>
      <c r="BX62" s="4">
        <f t="shared" si="37"/>
        <v>751168.2461571123</v>
      </c>
      <c r="BY62" s="4">
        <f t="shared" si="37"/>
        <v>758679.92861868348</v>
      </c>
      <c r="BZ62" s="4">
        <f t="shared" si="37"/>
        <v>766266.72790487029</v>
      </c>
      <c r="CA62" s="4">
        <f t="shared" si="37"/>
        <v>773929.395183919</v>
      </c>
      <c r="CB62" s="4">
        <f t="shared" si="37"/>
        <v>781668.68913575821</v>
      </c>
      <c r="CC62" s="4">
        <f t="shared" si="37"/>
        <v>789485.37602711574</v>
      </c>
      <c r="CD62" s="4">
        <f t="shared" si="37"/>
        <v>797380.22978738695</v>
      </c>
      <c r="CE62" s="4">
        <f t="shared" si="37"/>
        <v>805354.03208526084</v>
      </c>
      <c r="CF62" s="4">
        <f t="shared" si="37"/>
        <v>813407.5724061135</v>
      </c>
      <c r="CG62" s="4">
        <f t="shared" si="37"/>
        <v>821541.64813017461</v>
      </c>
      <c r="CH62" s="4">
        <f t="shared" si="37"/>
        <v>829757.06461147638</v>
      </c>
      <c r="CI62" s="4">
        <f t="shared" ref="CI62:DN62" si="38">CH62*(1+$Y$55)</f>
        <v>838054.63525759114</v>
      </c>
      <c r="CJ62" s="4">
        <f t="shared" si="38"/>
        <v>846435.18161016703</v>
      </c>
      <c r="CK62" s="4">
        <f t="shared" si="38"/>
        <v>854899.53342626872</v>
      </c>
      <c r="CL62" s="4">
        <f t="shared" si="38"/>
        <v>863448.52876053145</v>
      </c>
      <c r="CM62" s="4">
        <f t="shared" si="38"/>
        <v>872083.01404813677</v>
      </c>
      <c r="CN62" s="4">
        <f t="shared" si="38"/>
        <v>880803.84418861812</v>
      </c>
      <c r="CO62" s="4">
        <f t="shared" si="38"/>
        <v>889611.88263050432</v>
      </c>
      <c r="CP62" s="4">
        <f t="shared" si="38"/>
        <v>898508.00145680935</v>
      </c>
      <c r="CQ62" s="4">
        <f t="shared" si="38"/>
        <v>907493.0814713774</v>
      </c>
      <c r="CR62" s="4">
        <f t="shared" si="38"/>
        <v>916568.01228609122</v>
      </c>
      <c r="CS62" s="4">
        <f t="shared" si="38"/>
        <v>925733.69240895216</v>
      </c>
      <c r="CT62" s="4">
        <f t="shared" si="38"/>
        <v>934991.02933304175</v>
      </c>
      <c r="CU62" s="4">
        <f t="shared" si="38"/>
        <v>944340.93962637219</v>
      </c>
      <c r="CV62" s="4">
        <f t="shared" si="38"/>
        <v>953784.34902263596</v>
      </c>
      <c r="CW62" s="4">
        <f t="shared" si="38"/>
        <v>963322.19251286227</v>
      </c>
      <c r="CX62" s="4">
        <f t="shared" si="38"/>
        <v>972955.41443799087</v>
      </c>
      <c r="CY62" s="4">
        <f t="shared" si="38"/>
        <v>982684.96858237078</v>
      </c>
      <c r="CZ62" s="4">
        <f t="shared" si="38"/>
        <v>992511.81826819445</v>
      </c>
      <c r="DA62" s="4">
        <f t="shared" si="38"/>
        <v>1002436.9364508764</v>
      </c>
      <c r="DB62" s="4">
        <f t="shared" si="38"/>
        <v>1012461.3058153852</v>
      </c>
      <c r="DC62" s="4">
        <f t="shared" si="38"/>
        <v>1022585.9188735391</v>
      </c>
      <c r="DD62" s="4">
        <f t="shared" si="38"/>
        <v>1032811.7780622744</v>
      </c>
      <c r="DE62" s="4">
        <f t="shared" si="38"/>
        <v>1043139.8958428972</v>
      </c>
      <c r="DF62" s="4">
        <f t="shared" si="38"/>
        <v>1053571.2948013262</v>
      </c>
      <c r="DG62" s="4">
        <f t="shared" si="38"/>
        <v>1064107.0077493396</v>
      </c>
      <c r="DH62" s="4">
        <f t="shared" si="38"/>
        <v>1074748.0778268329</v>
      </c>
      <c r="DI62" s="4">
        <f t="shared" si="38"/>
        <v>1085495.5586051012</v>
      </c>
      <c r="DJ62" s="4">
        <f t="shared" si="38"/>
        <v>1096350.5141911523</v>
      </c>
      <c r="DK62" s="4">
        <f t="shared" si="38"/>
        <v>1107314.0193330639</v>
      </c>
      <c r="DL62" s="4">
        <f t="shared" si="38"/>
        <v>1118387.1595263944</v>
      </c>
      <c r="DM62" s="4">
        <f t="shared" si="38"/>
        <v>1129571.0311216584</v>
      </c>
      <c r="DN62" s="4">
        <f t="shared" si="38"/>
        <v>1140866.7414328749</v>
      </c>
      <c r="DO62" s="4">
        <f t="shared" ref="DO62:DU62" si="39">DN62*(1+$Y$55)</f>
        <v>1152275.4088472037</v>
      </c>
      <c r="DP62" s="4">
        <f t="shared" si="39"/>
        <v>1163798.1629356758</v>
      </c>
      <c r="DQ62" s="4">
        <f t="shared" si="39"/>
        <v>1175436.1445650326</v>
      </c>
      <c r="DR62" s="4">
        <f t="shared" si="39"/>
        <v>1187190.5060106828</v>
      </c>
      <c r="DS62" s="4">
        <f t="shared" si="39"/>
        <v>1199062.4110707897</v>
      </c>
      <c r="DT62" s="4">
        <f t="shared" si="39"/>
        <v>1211053.0351814977</v>
      </c>
      <c r="DU62" s="4">
        <f t="shared" si="39"/>
        <v>1223163.5655333127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2025-07-21T21:52:22Z</dcterms:modified>
</cp:coreProperties>
</file>