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7790CCD8-0F05-4910-BF3D-4C21BC9B7577}" xr6:coauthVersionLast="47" xr6:coauthVersionMax="47" xr10:uidLastSave="{00000000-0000-0000-0000-000000000000}"/>
  <bookViews>
    <workbookView xWindow="1050" yWindow="720" windowWidth="22200" windowHeight="14535" activeTab="1" xr2:uid="{5AA46402-15B0-4FC0-8E3D-B86295590FFA}"/>
  </bookViews>
  <sheets>
    <sheet name="Main" sheetId="1" r:id="rId1"/>
    <sheet name="Model" sheetId="2" r:id="rId2"/>
    <sheet name="Literature" sheetId="5" r:id="rId3"/>
    <sheet name="IP" sheetId="4" r:id="rId4"/>
    <sheet name="rinvoq" sheetId="3" r:id="rId5"/>
    <sheet name="skyrizi" sheetId="6" r:id="rId6"/>
    <sheet name="ubrelvy" sheetId="11" r:id="rId7"/>
    <sheet name="quilipta" sheetId="12" r:id="rId8"/>
    <sheet name="vraylar" sheetId="10" r:id="rId9"/>
    <sheet name="epkinly" sheetId="9" r:id="rId10"/>
    <sheet name="elahere" sheetId="8" r:id="rId11"/>
    <sheet name="venclexta" sheetId="7" r:id="rId12"/>
    <sheet name="ABBV-113" sheetId="16" r:id="rId13"/>
    <sheet name="temab-a" sheetId="15" r:id="rId14"/>
    <sheet name="etentamig" sheetId="14" r:id="rId15"/>
    <sheet name="tavapado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2" l="1"/>
  <c r="R28" i="2"/>
  <c r="S28" i="2"/>
  <c r="T28" i="2" s="1"/>
  <c r="U28" i="2" s="1"/>
  <c r="V28" i="2" s="1"/>
  <c r="W28" i="2" s="1"/>
  <c r="X28" i="2" s="1"/>
  <c r="Y28" i="2" s="1"/>
  <c r="Z28" i="2" s="1"/>
  <c r="Q10" i="2"/>
  <c r="I3" i="2" l="1"/>
  <c r="J4" i="2"/>
  <c r="I4" i="2"/>
  <c r="I22" i="6" l="1"/>
  <c r="J22" i="6"/>
  <c r="K22" i="6"/>
  <c r="L22" i="6"/>
  <c r="H22" i="6"/>
  <c r="I15" i="6"/>
  <c r="J15" i="6"/>
  <c r="K15" i="6"/>
  <c r="L15" i="6"/>
  <c r="H15" i="6"/>
  <c r="G36" i="6"/>
  <c r="H36" i="6"/>
  <c r="I36" i="6"/>
  <c r="J36" i="6"/>
  <c r="K36" i="6"/>
  <c r="L36" i="6"/>
  <c r="F36" i="6"/>
  <c r="I29" i="6"/>
  <c r="J29" i="6"/>
  <c r="K29" i="6"/>
  <c r="L29" i="6"/>
  <c r="H29" i="6"/>
  <c r="E29" i="6"/>
  <c r="F29" i="6"/>
  <c r="G29" i="6"/>
  <c r="G31" i="6" s="1"/>
  <c r="D29" i="6"/>
  <c r="I31" i="6"/>
  <c r="J31" i="6"/>
  <c r="K31" i="6"/>
  <c r="L31" i="6"/>
  <c r="C29" i="6"/>
  <c r="C36" i="6"/>
  <c r="D31" i="6"/>
  <c r="E31" i="6"/>
  <c r="F31" i="6"/>
  <c r="H31" i="6"/>
  <c r="E28" i="6"/>
  <c r="F28" i="6"/>
  <c r="G28" i="6"/>
  <c r="H28" i="6" s="1"/>
  <c r="I28" i="6" s="1"/>
  <c r="J28" i="6" s="1"/>
  <c r="K28" i="6" s="1"/>
  <c r="L28" i="6" s="1"/>
  <c r="D35" i="6"/>
  <c r="D36" i="6" s="1"/>
  <c r="D38" i="6" s="1"/>
  <c r="D28" i="6"/>
  <c r="D27" i="6"/>
  <c r="E21" i="6"/>
  <c r="F21" i="6" s="1"/>
  <c r="D21" i="6"/>
  <c r="C38" i="6"/>
  <c r="E34" i="6"/>
  <c r="F34" i="6" s="1"/>
  <c r="G34" i="6" s="1"/>
  <c r="H34" i="6" s="1"/>
  <c r="I34" i="6" s="1"/>
  <c r="J34" i="6" s="1"/>
  <c r="K34" i="6" s="1"/>
  <c r="L34" i="6" s="1"/>
  <c r="D34" i="6"/>
  <c r="C31" i="6"/>
  <c r="E27" i="6"/>
  <c r="F27" i="6" s="1"/>
  <c r="G27" i="6" s="1"/>
  <c r="H27" i="6" s="1"/>
  <c r="I27" i="6" s="1"/>
  <c r="J27" i="6" s="1"/>
  <c r="K27" i="6" s="1"/>
  <c r="L27" i="6" s="1"/>
  <c r="D15" i="6"/>
  <c r="E15" i="6"/>
  <c r="F15" i="6"/>
  <c r="F17" i="6" s="1"/>
  <c r="G15" i="6"/>
  <c r="C15" i="6"/>
  <c r="D22" i="6"/>
  <c r="E22" i="6"/>
  <c r="C22" i="6"/>
  <c r="D17" i="6"/>
  <c r="E17" i="6"/>
  <c r="G17" i="6"/>
  <c r="H17" i="6"/>
  <c r="I17" i="6"/>
  <c r="J17" i="6"/>
  <c r="K17" i="6"/>
  <c r="L17" i="6"/>
  <c r="C17" i="6"/>
  <c r="D24" i="6"/>
  <c r="E24" i="6"/>
  <c r="C24" i="6"/>
  <c r="D20" i="6"/>
  <c r="E20" i="6" s="1"/>
  <c r="F20" i="6" s="1"/>
  <c r="G20" i="6" s="1"/>
  <c r="H20" i="6" s="1"/>
  <c r="I20" i="6" s="1"/>
  <c r="J20" i="6" s="1"/>
  <c r="K20" i="6" s="1"/>
  <c r="L20" i="6" s="1"/>
  <c r="D14" i="6"/>
  <c r="E14" i="6" s="1"/>
  <c r="D13" i="6"/>
  <c r="E13" i="6" s="1"/>
  <c r="F13" i="6" s="1"/>
  <c r="G13" i="6" s="1"/>
  <c r="H13" i="6" s="1"/>
  <c r="I13" i="6" s="1"/>
  <c r="J13" i="6" s="1"/>
  <c r="K13" i="6" s="1"/>
  <c r="L13" i="6" s="1"/>
  <c r="J28" i="2"/>
  <c r="I28" i="2"/>
  <c r="I42" i="2"/>
  <c r="J3" i="2"/>
  <c r="Q3" i="2"/>
  <c r="R3" i="2" s="1"/>
  <c r="S3" i="2" s="1"/>
  <c r="T3" i="2" s="1"/>
  <c r="U3" i="2" s="1"/>
  <c r="V3" i="2" s="1"/>
  <c r="W3" i="2" s="1"/>
  <c r="X3" i="2" s="1"/>
  <c r="Y3" i="2" s="1"/>
  <c r="Z3" i="2" s="1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S6" i="2"/>
  <c r="T6" i="2"/>
  <c r="U6" i="2"/>
  <c r="V6" i="2"/>
  <c r="W6" i="2"/>
  <c r="X6" i="2"/>
  <c r="Y6" i="2"/>
  <c r="Z6" i="2"/>
  <c r="S8" i="2"/>
  <c r="T8" i="2" s="1"/>
  <c r="U8" i="2" s="1"/>
  <c r="V8" i="2" s="1"/>
  <c r="W8" i="2" s="1"/>
  <c r="X8" i="2" s="1"/>
  <c r="Y8" i="2" s="1"/>
  <c r="Z8" i="2" s="1"/>
  <c r="S9" i="2"/>
  <c r="T9" i="2" s="1"/>
  <c r="U9" i="2" s="1"/>
  <c r="V9" i="2" s="1"/>
  <c r="W9" i="2" s="1"/>
  <c r="X9" i="2" s="1"/>
  <c r="Y9" i="2" s="1"/>
  <c r="Z9" i="2" s="1"/>
  <c r="S13" i="2"/>
  <c r="T13" i="2" s="1"/>
  <c r="U13" i="2" s="1"/>
  <c r="V13" i="2" s="1"/>
  <c r="W13" i="2" s="1"/>
  <c r="X13" i="2" s="1"/>
  <c r="Y13" i="2" s="1"/>
  <c r="Z13" i="2" s="1"/>
  <c r="S14" i="2"/>
  <c r="T14" i="2"/>
  <c r="U14" i="2"/>
  <c r="V14" i="2"/>
  <c r="W14" i="2"/>
  <c r="X14" i="2"/>
  <c r="Y14" i="2" s="1"/>
  <c r="Z14" i="2" s="1"/>
  <c r="S15" i="2"/>
  <c r="T15" i="2"/>
  <c r="U15" i="2"/>
  <c r="V15" i="2"/>
  <c r="W15" i="2"/>
  <c r="X15" i="2"/>
  <c r="Y15" i="2"/>
  <c r="Z15" i="2"/>
  <c r="R15" i="2"/>
  <c r="R14" i="2"/>
  <c r="R13" i="2"/>
  <c r="R10" i="2"/>
  <c r="S10" i="2" s="1"/>
  <c r="T10" i="2" s="1"/>
  <c r="U10" i="2" s="1"/>
  <c r="V10" i="2" s="1"/>
  <c r="W10" i="2" s="1"/>
  <c r="X10" i="2" s="1"/>
  <c r="Y10" i="2" s="1"/>
  <c r="Z10" i="2" s="1"/>
  <c r="R9" i="2"/>
  <c r="R8" i="2"/>
  <c r="R6" i="2"/>
  <c r="I32" i="2"/>
  <c r="J6" i="2"/>
  <c r="I6" i="2"/>
  <c r="J5" i="2"/>
  <c r="I5" i="2"/>
  <c r="J24" i="2"/>
  <c r="I24" i="2"/>
  <c r="I20" i="2"/>
  <c r="J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Q4" i="2"/>
  <c r="R4" i="2" s="1"/>
  <c r="S4" i="2" s="1"/>
  <c r="T4" i="2" s="1"/>
  <c r="U4" i="2" s="1"/>
  <c r="V4" i="2" s="1"/>
  <c r="W4" i="2" s="1"/>
  <c r="X4" i="2" s="1"/>
  <c r="Y4" i="2" s="1"/>
  <c r="Z4" i="2" s="1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Q14" i="2" s="1"/>
  <c r="J13" i="2"/>
  <c r="I13" i="2"/>
  <c r="J12" i="2"/>
  <c r="I12" i="2"/>
  <c r="J11" i="2"/>
  <c r="I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J10" i="2"/>
  <c r="I10" i="2"/>
  <c r="H24" i="2"/>
  <c r="J9" i="2"/>
  <c r="I9" i="2"/>
  <c r="J8" i="2"/>
  <c r="I8" i="2"/>
  <c r="J7" i="2"/>
  <c r="I7" i="2"/>
  <c r="Q5" i="2"/>
  <c r="E43" i="2"/>
  <c r="F43" i="2"/>
  <c r="G43" i="2"/>
  <c r="H43" i="2"/>
  <c r="E44" i="2"/>
  <c r="F44" i="2"/>
  <c r="G44" i="2"/>
  <c r="H44" i="2"/>
  <c r="D44" i="2"/>
  <c r="D43" i="2"/>
  <c r="C24" i="2"/>
  <c r="C25" i="2"/>
  <c r="D24" i="2"/>
  <c r="D25" i="2"/>
  <c r="E24" i="2"/>
  <c r="E25" i="2" s="1"/>
  <c r="F24" i="2"/>
  <c r="F25" i="2" s="1"/>
  <c r="I25" i="2"/>
  <c r="G24" i="2"/>
  <c r="G25" i="2"/>
  <c r="H42" i="2"/>
  <c r="G42" i="2"/>
  <c r="H25" i="2"/>
  <c r="P24" i="2"/>
  <c r="P25" i="2" s="1"/>
  <c r="O24" i="2"/>
  <c r="O25" i="2" s="1"/>
  <c r="N24" i="2"/>
  <c r="N25" i="2" s="1"/>
  <c r="C20" i="3"/>
  <c r="D17" i="3"/>
  <c r="D20" i="3" s="1"/>
  <c r="E16" i="3"/>
  <c r="F16" i="3"/>
  <c r="G16" i="3"/>
  <c r="H16" i="3"/>
  <c r="I16" i="3"/>
  <c r="J16" i="3" s="1"/>
  <c r="K16" i="3" s="1"/>
  <c r="L16" i="3" s="1"/>
  <c r="M16" i="3" s="1"/>
  <c r="N16" i="3" s="1"/>
  <c r="O16" i="3" s="1"/>
  <c r="D16" i="3"/>
  <c r="I37" i="2"/>
  <c r="J37" i="2" s="1"/>
  <c r="Q37" i="2" s="1"/>
  <c r="Q33" i="2"/>
  <c r="Q29" i="2"/>
  <c r="Q23" i="2"/>
  <c r="R23" i="2" s="1"/>
  <c r="S23" i="2" s="1"/>
  <c r="T23" i="2" s="1"/>
  <c r="U23" i="2" s="1"/>
  <c r="V23" i="2" s="1"/>
  <c r="W23" i="2" s="1"/>
  <c r="X23" i="2" s="1"/>
  <c r="Y23" i="2" s="1"/>
  <c r="Z23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Q9" i="2"/>
  <c r="Q8" i="2"/>
  <c r="Q7" i="2"/>
  <c r="R7" i="2" s="1"/>
  <c r="S7" i="2" s="1"/>
  <c r="T7" i="2" s="1"/>
  <c r="U7" i="2" s="1"/>
  <c r="V7" i="2" s="1"/>
  <c r="W7" i="2" s="1"/>
  <c r="X7" i="2" s="1"/>
  <c r="Y7" i="2" s="1"/>
  <c r="Z7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Q15" i="2"/>
  <c r="Q13" i="2"/>
  <c r="Q12" i="2"/>
  <c r="C40" i="6" l="1"/>
  <c r="E35" i="6"/>
  <c r="D40" i="6"/>
  <c r="G21" i="6"/>
  <c r="F22" i="6"/>
  <c r="F24" i="6" s="1"/>
  <c r="F14" i="6"/>
  <c r="E17" i="3"/>
  <c r="J25" i="2"/>
  <c r="J26" i="2" s="1"/>
  <c r="Q6" i="2"/>
  <c r="Q24" i="2"/>
  <c r="R24" i="2" s="1"/>
  <c r="S24" i="2" s="1"/>
  <c r="T24" i="2" s="1"/>
  <c r="U24" i="2" s="1"/>
  <c r="V24" i="2" s="1"/>
  <c r="W24" i="2" s="1"/>
  <c r="X24" i="2" s="1"/>
  <c r="Y24" i="2" s="1"/>
  <c r="I26" i="2"/>
  <c r="L6" i="1"/>
  <c r="P27" i="2"/>
  <c r="P41" i="2" s="1"/>
  <c r="O27" i="2"/>
  <c r="O41" i="2" s="1"/>
  <c r="N27" i="2"/>
  <c r="N41" i="2" s="1"/>
  <c r="P70" i="2"/>
  <c r="P69" i="2"/>
  <c r="P68" i="2"/>
  <c r="P42" i="2"/>
  <c r="O42" i="2"/>
  <c r="P58" i="2"/>
  <c r="P62" i="2" s="1"/>
  <c r="P47" i="2"/>
  <c r="P56" i="2" s="1"/>
  <c r="R37" i="2"/>
  <c r="S37" i="2" s="1"/>
  <c r="T37" i="2" s="1"/>
  <c r="U37" i="2" s="1"/>
  <c r="V37" i="2" s="1"/>
  <c r="W37" i="2" s="1"/>
  <c r="X37" i="2" s="1"/>
  <c r="Y37" i="2" s="1"/>
  <c r="Z37" i="2" s="1"/>
  <c r="O30" i="2"/>
  <c r="P30" i="2"/>
  <c r="N30" i="2"/>
  <c r="G58" i="2"/>
  <c r="G62" i="2" s="1"/>
  <c r="G47" i="2"/>
  <c r="G46" i="2" s="1"/>
  <c r="F35" i="6" l="1"/>
  <c r="E36" i="6"/>
  <c r="E38" i="6" s="1"/>
  <c r="E40" i="6" s="1"/>
  <c r="G22" i="6"/>
  <c r="G24" i="6" s="1"/>
  <c r="H21" i="6"/>
  <c r="G14" i="6"/>
  <c r="Q28" i="2"/>
  <c r="Q42" i="2" s="1"/>
  <c r="J42" i="2"/>
  <c r="F17" i="3"/>
  <c r="E20" i="3"/>
  <c r="Q25" i="2"/>
  <c r="Q40" i="2" s="1"/>
  <c r="Q26" i="2"/>
  <c r="R25" i="2"/>
  <c r="R26" i="2" s="1"/>
  <c r="R27" i="2" s="1"/>
  <c r="Z24" i="2"/>
  <c r="Z25" i="2" s="1"/>
  <c r="Y25" i="2"/>
  <c r="X25" i="2"/>
  <c r="V25" i="2"/>
  <c r="W25" i="2"/>
  <c r="U25" i="2"/>
  <c r="P40" i="2"/>
  <c r="O40" i="2"/>
  <c r="P63" i="2"/>
  <c r="P64" i="2" s="1"/>
  <c r="Q30" i="2"/>
  <c r="G56" i="2"/>
  <c r="G63" i="2" s="1"/>
  <c r="G64" i="2" s="1"/>
  <c r="P31" i="2"/>
  <c r="P34" i="2" s="1"/>
  <c r="P36" i="2" s="1"/>
  <c r="P38" i="2" s="1"/>
  <c r="P46" i="2"/>
  <c r="O31" i="2"/>
  <c r="O34" i="2" s="1"/>
  <c r="O36" i="2" s="1"/>
  <c r="O38" i="2" s="1"/>
  <c r="N31" i="2"/>
  <c r="N34" i="2" s="1"/>
  <c r="N36" i="2" s="1"/>
  <c r="N38" i="2" s="1"/>
  <c r="H40" i="2"/>
  <c r="I40" i="2"/>
  <c r="J40" i="2"/>
  <c r="G40" i="2"/>
  <c r="D30" i="2"/>
  <c r="E30" i="2"/>
  <c r="F30" i="2"/>
  <c r="G30" i="2"/>
  <c r="H30" i="2"/>
  <c r="I30" i="2"/>
  <c r="J30" i="2"/>
  <c r="C30" i="2"/>
  <c r="D27" i="2"/>
  <c r="D41" i="2" s="1"/>
  <c r="E27" i="2"/>
  <c r="E41" i="2" s="1"/>
  <c r="F27" i="2"/>
  <c r="F41" i="2" s="1"/>
  <c r="G27" i="2"/>
  <c r="I27" i="2"/>
  <c r="J27" i="2"/>
  <c r="C2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L5" i="1"/>
  <c r="L3" i="1"/>
  <c r="L4" i="1" s="1"/>
  <c r="L7" i="1" s="1"/>
  <c r="Q27" i="2" l="1"/>
  <c r="Q41" i="2" s="1"/>
  <c r="G35" i="6"/>
  <c r="F38" i="6"/>
  <c r="F40" i="6" s="1"/>
  <c r="H24" i="6"/>
  <c r="I21" i="6"/>
  <c r="H14" i="6"/>
  <c r="G17" i="3"/>
  <c r="F20" i="3"/>
  <c r="T25" i="2"/>
  <c r="S25" i="2"/>
  <c r="S26" i="2" s="1"/>
  <c r="S27" i="2" s="1"/>
  <c r="R40" i="2"/>
  <c r="Q31" i="2"/>
  <c r="S30" i="2"/>
  <c r="S42" i="2"/>
  <c r="R30" i="2"/>
  <c r="R31" i="2" s="1"/>
  <c r="R42" i="2"/>
  <c r="T42" i="2"/>
  <c r="T30" i="2"/>
  <c r="F31" i="2"/>
  <c r="F34" i="2" s="1"/>
  <c r="F36" i="2" s="1"/>
  <c r="F38" i="2" s="1"/>
  <c r="E31" i="2"/>
  <c r="E34" i="2" s="1"/>
  <c r="E36" i="2" s="1"/>
  <c r="E38" i="2" s="1"/>
  <c r="D31" i="2"/>
  <c r="D34" i="2" s="1"/>
  <c r="D36" i="2" s="1"/>
  <c r="D38" i="2" s="1"/>
  <c r="C31" i="2"/>
  <c r="C34" i="2" s="1"/>
  <c r="C36" i="2" s="1"/>
  <c r="C38" i="2" s="1"/>
  <c r="G31" i="2"/>
  <c r="G34" i="2" s="1"/>
  <c r="G36" i="2" s="1"/>
  <c r="G38" i="2" s="1"/>
  <c r="C41" i="2"/>
  <c r="J31" i="2"/>
  <c r="I31" i="2"/>
  <c r="G41" i="2"/>
  <c r="H35" i="6" l="1"/>
  <c r="G38" i="6"/>
  <c r="G40" i="6" s="1"/>
  <c r="J21" i="6"/>
  <c r="I24" i="6"/>
  <c r="I14" i="6"/>
  <c r="H17" i="3"/>
  <c r="G20" i="3"/>
  <c r="T40" i="2"/>
  <c r="S31" i="2"/>
  <c r="S40" i="2"/>
  <c r="T26" i="2"/>
  <c r="T27" i="2" s="1"/>
  <c r="T31" i="2" s="1"/>
  <c r="U40" i="2"/>
  <c r="U30" i="2"/>
  <c r="U42" i="2"/>
  <c r="I35" i="6" l="1"/>
  <c r="H38" i="6"/>
  <c r="H40" i="6" s="1"/>
  <c r="K21" i="6"/>
  <c r="J24" i="6"/>
  <c r="J14" i="6"/>
  <c r="I17" i="3"/>
  <c r="H20" i="3"/>
  <c r="U26" i="2"/>
  <c r="U27" i="2" s="1"/>
  <c r="U31" i="2" s="1"/>
  <c r="V26" i="2"/>
  <c r="V27" i="2" s="1"/>
  <c r="V30" i="2"/>
  <c r="V42" i="2"/>
  <c r="J35" i="6" l="1"/>
  <c r="I38" i="6"/>
  <c r="I40" i="6" s="1"/>
  <c r="K24" i="6"/>
  <c r="L21" i="6"/>
  <c r="L24" i="6" s="1"/>
  <c r="K14" i="6"/>
  <c r="J17" i="3"/>
  <c r="I20" i="3"/>
  <c r="V40" i="2"/>
  <c r="V31" i="2"/>
  <c r="W40" i="2"/>
  <c r="W30" i="2"/>
  <c r="W42" i="2"/>
  <c r="K35" i="6" l="1"/>
  <c r="J38" i="6"/>
  <c r="J40" i="6" s="1"/>
  <c r="L14" i="6"/>
  <c r="K17" i="3"/>
  <c r="J20" i="3"/>
  <c r="W26" i="2"/>
  <c r="W27" i="2" s="1"/>
  <c r="W31" i="2" s="1"/>
  <c r="X26" i="2"/>
  <c r="X27" i="2" s="1"/>
  <c r="X42" i="2"/>
  <c r="X30" i="2"/>
  <c r="L35" i="6" l="1"/>
  <c r="L38" i="6" s="1"/>
  <c r="L40" i="6" s="1"/>
  <c r="K38" i="6"/>
  <c r="K40" i="6" s="1"/>
  <c r="L17" i="3"/>
  <c r="K20" i="3"/>
  <c r="X40" i="2"/>
  <c r="Y40" i="2"/>
  <c r="X31" i="2"/>
  <c r="Y42" i="2"/>
  <c r="Y30" i="2"/>
  <c r="O33" i="6" l="1"/>
  <c r="M17" i="3"/>
  <c r="L20" i="3"/>
  <c r="Y26" i="2"/>
  <c r="Y27" i="2" s="1"/>
  <c r="Y31" i="2" s="1"/>
  <c r="Z40" i="2"/>
  <c r="Z26" i="2"/>
  <c r="Z27" i="2" s="1"/>
  <c r="Z30" i="2"/>
  <c r="Z42" i="2"/>
  <c r="N17" i="3" l="1"/>
  <c r="M20" i="3"/>
  <c r="Z31" i="2"/>
  <c r="H27" i="2"/>
  <c r="O17" i="3" l="1"/>
  <c r="O20" i="3" s="1"/>
  <c r="N20" i="3"/>
  <c r="H31" i="2"/>
  <c r="H34" i="2" s="1"/>
  <c r="H36" i="2" s="1"/>
  <c r="H41" i="2"/>
  <c r="C23" i="3" l="1"/>
  <c r="H46" i="2"/>
  <c r="I34" i="2" s="1"/>
  <c r="I35" i="2" s="1"/>
  <c r="H38" i="2"/>
  <c r="I36" i="2" l="1"/>
  <c r="I46" i="2" l="1"/>
  <c r="J32" i="2" s="1"/>
  <c r="I38" i="2"/>
  <c r="J34" i="2" l="1"/>
  <c r="J35" i="2" s="1"/>
  <c r="Q32" i="2"/>
  <c r="Q34" i="2" s="1"/>
  <c r="Q35" i="2" l="1"/>
  <c r="Q36" i="2" s="1"/>
  <c r="J36" i="2" l="1"/>
  <c r="J46" i="2" s="1"/>
  <c r="Q46" i="2" s="1"/>
  <c r="Q38" i="2"/>
  <c r="J38" i="2" l="1"/>
  <c r="R32" i="2"/>
  <c r="R34" i="2" s="1"/>
  <c r="R35" i="2" l="1"/>
  <c r="R36" i="2" s="1"/>
  <c r="R46" i="2" l="1"/>
  <c r="S32" i="2" s="1"/>
  <c r="S34" i="2" s="1"/>
  <c r="R38" i="2"/>
  <c r="S35" i="2" l="1"/>
  <c r="S36" i="2" s="1"/>
  <c r="S38" i="2" l="1"/>
  <c r="S46" i="2"/>
  <c r="T32" i="2" s="1"/>
  <c r="T34" i="2" s="1"/>
  <c r="T35" i="2" s="1"/>
  <c r="T36" i="2" s="1"/>
  <c r="T38" i="2" l="1"/>
  <c r="T46" i="2"/>
  <c r="U32" i="2" s="1"/>
  <c r="U34" i="2" s="1"/>
  <c r="U35" i="2" l="1"/>
  <c r="U36" i="2" s="1"/>
  <c r="U38" i="2" l="1"/>
  <c r="U46" i="2"/>
  <c r="V32" i="2" s="1"/>
  <c r="V34" i="2" s="1"/>
  <c r="V35" i="2" l="1"/>
  <c r="V36" i="2" s="1"/>
  <c r="V38" i="2" l="1"/>
  <c r="V46" i="2"/>
  <c r="W32" i="2" s="1"/>
  <c r="W34" i="2" s="1"/>
  <c r="W35" i="2" s="1"/>
  <c r="W36" i="2" l="1"/>
  <c r="W38" i="2" s="1"/>
  <c r="W46" i="2" l="1"/>
  <c r="X32" i="2" s="1"/>
  <c r="X34" i="2" s="1"/>
  <c r="X35" i="2" s="1"/>
  <c r="X36" i="2" l="1"/>
  <c r="X38" i="2" l="1"/>
  <c r="X46" i="2"/>
  <c r="Y32" i="2" l="1"/>
  <c r="Y34" i="2" s="1"/>
  <c r="Y35" i="2" s="1"/>
  <c r="Y36" i="2" l="1"/>
  <c r="Y38" i="2" l="1"/>
  <c r="Y46" i="2"/>
  <c r="Z32" i="2" l="1"/>
  <c r="Z34" i="2" s="1"/>
  <c r="Z35" i="2" s="1"/>
  <c r="Z36" i="2" l="1"/>
  <c r="Z38" i="2" l="1"/>
  <c r="AB36" i="2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AC41" i="2" s="1"/>
  <c r="AC42" i="2" s="1"/>
  <c r="Z46" i="2"/>
  <c r="AC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tc={5826A23F-5633-41E2-8A6C-5C01DF3428D7}</author>
    <author>tc={B0CDD9DA-6D33-46EB-8EB8-B042CFC4E982}</author>
    <author>tc={437C7744-E22A-44F7-A4D3-43CB71927624}</author>
    <author>tc={8808F8DE-D78A-45C1-A061-1D93048DB378}</author>
    <author>tc={7ABC4589-B57A-4080-8AE0-9423BE9AABDA}</author>
    <author>tc={81A1F165-5515-4DCF-8855-AC8667D3C35B}</author>
    <author>tc={0AC1D944-2872-4376-8FCB-DE3DD3906018}</author>
  </authors>
  <commentList>
    <comment ref="Q3" authorId="0" shapeId="0" xr:uid="{5826A23F-5633-41E2-8A6C-5C01DF3428D7}">
      <text>
        <t>[Threaded comment]
Your version of Excel allows you to read this threaded comment; however, any edits to it will get removed if the file is opened in a newer version of Excel. Learn more: https://go.microsoft.com/fwlink/?linkid=870924
Comment:
    17.1b guidance</t>
      </text>
    </comment>
    <comment ref="S3" authorId="1" shapeId="0" xr:uid="{B0CDD9DA-6D33-46EB-8EB8-B042CFC4E9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LT guidance 20B</t>
      </text>
    </comment>
    <comment ref="Q4" authorId="2" shapeId="0" xr:uid="{437C7744-E22A-44F7-A4D3-43CB7192762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8.2b guidance
</t>
      </text>
    </comment>
    <comment ref="S4" authorId="3" shapeId="0" xr:uid="{8808F8DE-D78A-45C1-A061-1D93048DB3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 LT guidance 11B
</t>
      </text>
    </comment>
    <comment ref="Q10" authorId="4" shapeId="0" xr:uid="{7ABC4589-B57A-4080-8AE0-9423BE9AABDA}">
      <text>
        <t>[Threaded comment]
Your version of Excel allows you to read this threaded comment; however, any edits to it will get removed if the file is opened in a newer version of Excel. Learn more: https://go.microsoft.com/fwlink/?linkid=870924
Comment:
    400m guidance</t>
      </text>
    </comment>
    <comment ref="Q25" authorId="5" shapeId="0" xr:uid="{81A1F165-5515-4DCF-8855-AC8667D3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60.5B 2025 guidance</t>
      </text>
    </comment>
    <comment ref="Q38" authorId="6" shapeId="0" xr:uid="{0AC1D944-2872-4376-8FCB-DE3DD39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12.00 EPS guidance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tc={8E7BCA05-AB54-4A18-B98F-59B5EA196CB8}</author>
    <author>tc={2FCB6D49-38D4-4F59-A235-E50F9131FB37}</author>
    <author>tc={E2A0A460-5DF0-4DE8-8B80-99006658EE74}</author>
    <author>tc={5D80711F-5847-44BF-8B62-79769EC2CB8D}</author>
  </authors>
  <commentList>
    <comment ref="C16" authorId="0" shapeId="0" xr:uid="{8E7BCA05-AB54-4A18-B98F-59B5EA196C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23" authorId="1" shapeId="0" xr:uid="{2FCB6D49-38D4-4F59-A235-E50F9131FB37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0" authorId="2" shapeId="0" xr:uid="{E2A0A460-5DF0-4DE8-8B80-99006658EE74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7" authorId="3" shapeId="0" xr:uid="{5D80711F-5847-44BF-8B62-79769EC2CB8D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</commentList>
</comments>
</file>

<file path=xl/sharedStrings.xml><?xml version="1.0" encoding="utf-8"?>
<sst xmlns="http://schemas.openxmlformats.org/spreadsheetml/2006/main" count="377" uniqueCount="216">
  <si>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</si>
  <si>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</si>
  <si>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</si>
  <si>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</si>
  <si>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</si>
  <si>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</si>
  <si>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</si>
  <si>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</si>
  <si>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</si>
  <si>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MOA</t>
  </si>
  <si>
    <t>IP</t>
  </si>
  <si>
    <t>Economics</t>
  </si>
  <si>
    <t>Phase</t>
  </si>
  <si>
    <t>Main</t>
  </si>
  <si>
    <t>Revenue</t>
  </si>
  <si>
    <t>COGS</t>
  </si>
  <si>
    <t>SG&amp;A</t>
  </si>
  <si>
    <t>Gross Profit</t>
  </si>
  <si>
    <t>Operating Expenses</t>
  </si>
  <si>
    <t>Operating Income</t>
  </si>
  <si>
    <t>Interest Income</t>
  </si>
  <si>
    <t>Other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</si>
  <si>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</si>
  <si>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</si>
  <si>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</si>
  <si>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</si>
  <si>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</si>
  <si>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</si>
  <si>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</si>
  <si>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</si>
  <si>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Q124</t>
  </si>
  <si>
    <t>Q224</t>
  </si>
  <si>
    <t>Q324</t>
  </si>
  <si>
    <t>Q424</t>
  </si>
  <si>
    <t>Q125</t>
  </si>
  <si>
    <t>Q225</t>
  </si>
  <si>
    <t>Q325</t>
  </si>
  <si>
    <t>Q425</t>
  </si>
  <si>
    <t>Inventories</t>
  </si>
  <si>
    <t>Prepaids</t>
  </si>
  <si>
    <t>Investments</t>
  </si>
  <si>
    <t>PP&amp;E</t>
  </si>
  <si>
    <t>Intangible Assets</t>
  </si>
  <si>
    <t>GW</t>
  </si>
  <si>
    <t>Other Assets</t>
  </si>
  <si>
    <t>Assets</t>
  </si>
  <si>
    <t>DT</t>
  </si>
  <si>
    <t>LT Liabilities</t>
  </si>
  <si>
    <t>Liabilities</t>
  </si>
  <si>
    <t>SE</t>
  </si>
  <si>
    <t>L+SE</t>
  </si>
  <si>
    <t>ROIC</t>
  </si>
  <si>
    <t>Maturity</t>
  </si>
  <si>
    <t>Discount</t>
  </si>
  <si>
    <t>NPV</t>
  </si>
  <si>
    <t>Share</t>
  </si>
  <si>
    <t>SG&amp;A y/y</t>
  </si>
  <si>
    <t>CEO: Robert A. Michael</t>
  </si>
  <si>
    <t>CFO: Scott T. Reents</t>
  </si>
  <si>
    <t>COO: Azita Saleki-Gerhardt, Ph.D.</t>
  </si>
  <si>
    <t>Business &amp; Strategy: Nicholas Donoghoe M.D.</t>
  </si>
  <si>
    <t>R&amp;D</t>
  </si>
  <si>
    <t>Humira</t>
  </si>
  <si>
    <t>Skyrizi</t>
  </si>
  <si>
    <t>Rinvoq</t>
  </si>
  <si>
    <t>Imbruvica</t>
  </si>
  <si>
    <t>Venclexta</t>
  </si>
  <si>
    <t>Elahere</t>
  </si>
  <si>
    <t>Epkinly</t>
  </si>
  <si>
    <t>Vraylar</t>
  </si>
  <si>
    <t>Duodopa</t>
  </si>
  <si>
    <t>Ubrelvy</t>
  </si>
  <si>
    <t>Ozurdex</t>
  </si>
  <si>
    <t>Lumigan/Ganfort</t>
  </si>
  <si>
    <t>Alphagan/Combigan</t>
  </si>
  <si>
    <t>Mavyret</t>
  </si>
  <si>
    <t>Creon</t>
  </si>
  <si>
    <t>Linzess/Constella</t>
  </si>
  <si>
    <t>Juvederm</t>
  </si>
  <si>
    <t>Botox Therapeutic</t>
  </si>
  <si>
    <t>Botox Cosmetic</t>
  </si>
  <si>
    <t>Qulipta</t>
  </si>
  <si>
    <t>USA</t>
  </si>
  <si>
    <t>Europe</t>
  </si>
  <si>
    <t>Asia</t>
  </si>
  <si>
    <t>III</t>
  </si>
  <si>
    <t>Hidradenitis Suppurativa</t>
  </si>
  <si>
    <t>Parkinson's</t>
  </si>
  <si>
    <t>ABBV-400 (Temab-A)</t>
  </si>
  <si>
    <t>ABBV-383 (Etentamig)</t>
  </si>
  <si>
    <t>CRC</t>
  </si>
  <si>
    <t>ABBV-RGX-314 (Surabgene Lomparvovec)</t>
  </si>
  <si>
    <t>wet AMD (subretinal)</t>
  </si>
  <si>
    <t>Armour Thyroid</t>
  </si>
  <si>
    <t>Hypothyroidism</t>
  </si>
  <si>
    <t>ABBV-113</t>
  </si>
  <si>
    <t>II</t>
  </si>
  <si>
    <t>Ulcerative Colitis</t>
  </si>
  <si>
    <t>ABBV-932</t>
  </si>
  <si>
    <t>BPD, Anxiety Disorder</t>
  </si>
  <si>
    <t>ABT-555 (Elezanumab)</t>
  </si>
  <si>
    <t>Spinal Cord Injury</t>
  </si>
  <si>
    <t>Emraclidine</t>
  </si>
  <si>
    <t>Schizophrenia, AD Psychosis</t>
  </si>
  <si>
    <t>ABBV-CLS-7262 (Fosigotifator)</t>
  </si>
  <si>
    <t>ALS</t>
  </si>
  <si>
    <t>ABBV-181 (budigalimab)</t>
  </si>
  <si>
    <t>Solid Tumors</t>
  </si>
  <si>
    <t>Pivekimab Sunirine</t>
  </si>
  <si>
    <t>AGN-193408</t>
  </si>
  <si>
    <t>Open Angle Glaucoma, Ocular Hypertension</t>
  </si>
  <si>
    <t>ABBV-1883</t>
  </si>
  <si>
    <t>HIV</t>
  </si>
  <si>
    <t>Brand</t>
  </si>
  <si>
    <t>Generic</t>
  </si>
  <si>
    <t>Competition</t>
  </si>
  <si>
    <t>Clinical Trials</t>
  </si>
  <si>
    <t>Regulatory</t>
  </si>
  <si>
    <t>Assignee</t>
  </si>
  <si>
    <t>Patent</t>
  </si>
  <si>
    <t>Title</t>
  </si>
  <si>
    <t>Notes</t>
  </si>
  <si>
    <t>Read</t>
  </si>
  <si>
    <t>Relevance</t>
  </si>
  <si>
    <t>Topic</t>
  </si>
  <si>
    <t>8/16/2019 - approved</t>
  </si>
  <si>
    <t>Skyrizi (risankizumab-rzaa)</t>
  </si>
  <si>
    <t>Rinvoq (upadacitinib)</t>
  </si>
  <si>
    <t>upadacitinib</t>
  </si>
  <si>
    <t>Humira (adalimumab)</t>
  </si>
  <si>
    <t>Imbruvica (ibrutinib)</t>
  </si>
  <si>
    <t>RA, PsoA, Crohn's, UC, HS</t>
  </si>
  <si>
    <t>TNF-alpha i</t>
  </si>
  <si>
    <t>Plaque Pso, PsoA, Crohn's, UC</t>
  </si>
  <si>
    <t>IL-23 i</t>
  </si>
  <si>
    <t>RA, PsoA, Atopic Derm, UC, Crohn's</t>
  </si>
  <si>
    <t>JAK i</t>
  </si>
  <si>
    <t>100% 2036</t>
  </si>
  <si>
    <t>CLL, Waldenstrom Macro, Chronic-graft host disease</t>
  </si>
  <si>
    <t>BTK i</t>
  </si>
  <si>
    <t>Venclexta (venetoclax)</t>
  </si>
  <si>
    <t>CLL, SLL, AML</t>
  </si>
  <si>
    <t>BPDCN, AML</t>
  </si>
  <si>
    <t>BCL-2 i</t>
  </si>
  <si>
    <t>Elahere (mirvetuximab soravtansine-gynx)</t>
  </si>
  <si>
    <t>Folate receptor a+, plat-resist ovarian, peritoneal cancer</t>
  </si>
  <si>
    <t>Folate receptor</t>
  </si>
  <si>
    <t>Epkinly (epcoritamab-bysp)</t>
  </si>
  <si>
    <t>DLBCL, FL</t>
  </si>
  <si>
    <t>CD20-directed CD3 T-cell engager</t>
  </si>
  <si>
    <t>Vraylar (cariprazine)</t>
  </si>
  <si>
    <t>Schizophrenia, BPD I, MDD</t>
  </si>
  <si>
    <t>5-HT2B/5-HT2A antagonist; partial agonist at D2/D3 and 5-HT1A</t>
  </si>
  <si>
    <t>100% 2032?</t>
  </si>
  <si>
    <t>JNJ 50%</t>
  </si>
  <si>
    <t>Shared; Boehringer</t>
  </si>
  <si>
    <t>Shared 2032; Genentech</t>
  </si>
  <si>
    <t>ABT-981 (Lutikizumab)</t>
  </si>
  <si>
    <t>CVL-751 (Tavapadon)</t>
  </si>
  <si>
    <t>Ubrelvy (ubrogepant)</t>
  </si>
  <si>
    <t>DVD-lg IL-1a, IL-1b inhibitor</t>
  </si>
  <si>
    <t>100% 2035</t>
  </si>
  <si>
    <t>CGRP receptor antagonist</t>
  </si>
  <si>
    <t>D1/D5 receptor partial agonist</t>
  </si>
  <si>
    <t>Relapsed/refractory Multiple Myeloma</t>
  </si>
  <si>
    <t>BCMAxCD3 T-cell engager</t>
  </si>
  <si>
    <t>topoisomerase I inhibitor</t>
  </si>
  <si>
    <t>REGENXBIO</t>
  </si>
  <si>
    <t>AAV8 gene therapy</t>
  </si>
  <si>
    <t>R&amp;D: Roopal Thakka M.D.</t>
  </si>
  <si>
    <t>Ozurdex (dexamethasone)</t>
  </si>
  <si>
    <t>Lumigan/Ganfort (bimatoprost)</t>
  </si>
  <si>
    <t>Alphagan/Combigan (brimonide tartrate)</t>
  </si>
  <si>
    <t>Restasis (cyclosporine)</t>
  </si>
  <si>
    <t xml:space="preserve">Mavyret </t>
  </si>
  <si>
    <t>Creon (pancrelipase)</t>
  </si>
  <si>
    <t>Linzess/Constella (linaclotide)</t>
  </si>
  <si>
    <t>Ironwood 2029</t>
  </si>
  <si>
    <t>Key Pipeline</t>
  </si>
  <si>
    <t>tavapadon</t>
  </si>
  <si>
    <t>etentamig</t>
  </si>
  <si>
    <t>temab-a</t>
  </si>
  <si>
    <t>Quilipta (atogepant)</t>
  </si>
  <si>
    <t>Migraine</t>
  </si>
  <si>
    <t>PsA, AS, RA, nr-axSpA, UC, CD, GCA</t>
  </si>
  <si>
    <t>US Patient Pool</t>
  </si>
  <si>
    <t>Treated</t>
  </si>
  <si>
    <t>Vyalev</t>
  </si>
  <si>
    <t>Skyrizi q/q</t>
  </si>
  <si>
    <t>Rinvoq q/q</t>
  </si>
  <si>
    <t>What is the pipeline worth?</t>
  </si>
  <si>
    <t>What can Skyrizi and Rinvoq grow to?</t>
  </si>
  <si>
    <t>Questions</t>
  </si>
  <si>
    <t>risankizumab-rzaa</t>
  </si>
  <si>
    <t>36 and 47% treated 15 and 30mg reached SALT &lt;=10 p &lt;0.001</t>
  </si>
  <si>
    <t>Study 2: 44.6 and 54.3% treated 15 and 30mg reached SALT &lt;=20; p&lt;0.001</t>
  </si>
  <si>
    <t>deuruxolitinib</t>
  </si>
  <si>
    <t>baricitinib</t>
  </si>
  <si>
    <t>ritlecitinib</t>
  </si>
  <si>
    <t>41% SALT &lt;=20 at week 24</t>
  </si>
  <si>
    <t>40% SALT &lt;=20 at week 36</t>
  </si>
  <si>
    <t>over 6-12 months</t>
  </si>
  <si>
    <t>total AA: 6,800,000</t>
  </si>
  <si>
    <t>moderate-severe: 300,000</t>
  </si>
  <si>
    <t xml:space="preserve">Phase III "UP-AA" in Alopecia Areata n= NCT:NCT06012240 </t>
  </si>
  <si>
    <t>Inclusion: Severe AA</t>
  </si>
  <si>
    <t>mod-severe plaque psoriasis</t>
  </si>
  <si>
    <t>Plaque Pso, PsA, Crohn's, UC</t>
  </si>
  <si>
    <t>PsA</t>
  </si>
  <si>
    <t>Skyrizi Revenue</t>
  </si>
  <si>
    <t>mod-severe Crohn's</t>
  </si>
  <si>
    <t>mod-severe Ulcerative Colitis</t>
  </si>
  <si>
    <t>How many treated/market share can Skyrizi get in each?</t>
  </si>
  <si>
    <t>Is Skyrizi the best treatment or are competitors similar?</t>
  </si>
  <si>
    <t>Admin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</si>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</sst>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0" xfId="1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4" xfId="1" applyBorder="1"/>
    <xf numFmtId="0" fontId="3" fillId="0" borderId="0" xfId="0" applyFont="1"/>
    <xf numFmtId="0" fontId="2" fillId="0" borderId="0" xfId="1"/>
    <xf numFmtId="3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65943</xdr:rowOff>
    </xdr:from>
    <xdr:to>
      <xdr:col>7</xdr:col>
      <xdr:colOff>608134</xdr:colOff>
      <xdr:row>66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018EB0-219E-B683-D006-A85C677A7B8C}"/>
            </a:ext>
          </a:extLst>
        </xdr:cNvPr>
        <xdr:cNvCxnSpPr/>
      </xdr:nvCxnSpPr>
      <xdr:spPr>
        <a:xfrm>
          <a:off x="5187461" y="65943"/>
          <a:ext cx="7327" cy="10125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608134</xdr:colOff>
      <xdr:row>0</xdr:row>
      <xdr:rowOff>0</xdr:rowOff>
    </xdr:from>
    <xdr:to>
      <xdr:col>16</xdr:col>
      <xdr:colOff>7326</xdr:colOff>
      <xdr:row>65</xdr:row>
      <xdr:rowOff>131884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29847-5E7E-4C16-9B41-338DCE277588}"/>
            </a:ext>
          </a:extLst>
        </xdr:cNvPr>
        <xdr:cNvCxnSpPr/>
      </xdr:nvCxnSpPr>
      <xdr:spPr>
        <a:xfrm>
          <a:off x="9459057" y="0"/>
          <a:ext cx="7327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86544EA0-DE7A-48E8-B5F5-2D9D866E1040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5-08-25T11:20:40.92" personId="{86544EA0-DE7A-48E8-B5F5-2D9D866E1040}" id="{5826A23F-5633-41E2-8A6C-5C01DF3428D7}">
    <text>17.1b guidance</text>
  </threadedComment>
  <threadedComment ref="S3" dT="2025-08-25T11:20:08.11" personId="{86544EA0-DE7A-48E8-B5F5-2D9D866E1040}" id="{B0CDD9DA-6D33-46EB-8EB8-B042CFC4E982}">
    <text>Previous LT guidance 20B</text>
  </threadedComment>
  <threadedComment ref="Q4" dT="2025-08-25T11:21:11.24" personId="{86544EA0-DE7A-48E8-B5F5-2D9D866E1040}" id="{437C7744-E22A-44F7-A4D3-43CB71927624}">
    <text xml:space="preserve">8.2b guidance
</text>
  </threadedComment>
  <threadedComment ref="S4" dT="2025-08-25T11:20:14.30" personId="{86544EA0-DE7A-48E8-B5F5-2D9D866E1040}" id="{8808F8DE-D78A-45C1-A061-1D93048DB378}">
    <text xml:space="preserve">Previous LT guidance 11B
</text>
  </threadedComment>
  <threadedComment ref="Q10" dT="2025-08-25T11:23:40.84" personId="{86544EA0-DE7A-48E8-B5F5-2D9D866E1040}" id="{7ABC4589-B57A-4080-8AE0-9423BE9AABDA}">
    <text>400m guidance</text>
  </threadedComment>
  <threadedComment ref="Q25" dT="2025-07-31T22:29:10.30" personId="{86544EA0-DE7A-48E8-B5F5-2D9D866E1040}" id="{81A1F165-5515-4DCF-8855-AC8667D3C35B}">
    <text>60.5B 2025 guidance</text>
  </threadedComment>
  <threadedComment ref="Q38" dT="2025-07-31T22:27:21.69" personId="{86544EA0-DE7A-48E8-B5F5-2D9D866E1040}" id="{0AC1D944-2872-4376-8FCB-DE3DD3906018}">
    <text>12.00 EPS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5-08-01T22:50:19.00" personId="{86544EA0-DE7A-48E8-B5F5-2D9D866E1040}" id="{8E7BCA05-AB54-4A18-B98F-59B5EA196CB8}">
    <text>Skyrizi.com</text>
  </threadedComment>
  <threadedComment ref="C23" dT="2025-08-01T22:50:19.00" personId="{86544EA0-DE7A-48E8-B5F5-2D9D866E1040}" id="{2FCB6D49-38D4-4F59-A235-E50F9131FB37}">
    <text>Skyrizi.com</text>
  </threadedComment>
  <threadedComment ref="C30" dT="2025-08-01T22:50:19.00" personId="{86544EA0-DE7A-48E8-B5F5-2D9D866E1040}" id="{E2A0A460-5DF0-4DE8-8B80-99006658EE74}">
    <text>Skyrizi.com</text>
  </threadedComment>
  <threadedComment ref="C37" dT="2025-08-01T22:50:19.00" personId="{86544EA0-DE7A-48E8-B5F5-2D9D866E1040}" id="{5D80711F-5847-44BF-8B62-79769EC2CB8D}">
    <text>Skyrizi.com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85D-BF28-46C3-911C-C127C0122D38}">
  <dimension ref="B2:M40"/>
  <sheetViews>
    <sheetView workbookViewId="0">
      <selection activeCell="I28" sqref="I28"/>
    </sheetView>
  </sheetViews>
  <sheetFormatPr defaultRowHeight="12.75" x14ac:dyDescent="0.2"/>
  <cols>
    <col min="1" max="1" width="2.85546875" customWidth="1"/>
    <col min="2" max="2" width="36.5703125" bestFit="1" customWidth="1"/>
    <col min="3" max="3" width="48.28515625" bestFit="1" customWidth="1"/>
    <col min="4" max="4" width="10.140625" bestFit="1" customWidth="1"/>
    <col min="5" max="5" width="35.42578125" customWidth="1"/>
    <col min="6" max="6" width="22" bestFit="1" customWidth="1"/>
    <col min="7" max="7" width="10.85546875" customWidth="1"/>
    <col min="8" max="8" width="8.42578125" customWidth="1"/>
    <col min="9" max="9" width="4.5703125" customWidth="1"/>
    <col min="10" max="10" width="5" customWidth="1"/>
  </cols>
  <sheetData>
    <row r="2" spans="2:13" x14ac:dyDescent="0.2">
      <c r="B2" s="3" t="s">
        <v>6</v>
      </c>
      <c r="C2" s="4" t="s">
        <v>7</v>
      </c>
      <c r="D2" s="4" t="s">
        <v>8</v>
      </c>
      <c r="E2" s="4" t="s">
        <v>9</v>
      </c>
      <c r="F2" s="4" t="s">
        <v>11</v>
      </c>
      <c r="G2" s="4" t="s">
        <v>214</v>
      </c>
      <c r="H2" s="5" t="s">
        <v>10</v>
      </c>
      <c r="K2" t="s">
        <v>0</v>
      </c>
      <c r="L2" s="1">
        <v>195</v>
      </c>
    </row>
    <row r="3" spans="2:13" x14ac:dyDescent="0.2">
      <c r="B3" s="12" t="s">
        <v>129</v>
      </c>
      <c r="C3" s="21" t="s">
        <v>131</v>
      </c>
      <c r="D3" s="22">
        <v>37621</v>
      </c>
      <c r="E3" s="21" t="s">
        <v>132</v>
      </c>
      <c r="F3" s="21"/>
      <c r="G3" s="21"/>
      <c r="H3" s="23"/>
      <c r="K3" t="s">
        <v>1</v>
      </c>
      <c r="L3" s="2">
        <f>1766.4</f>
        <v>1766.4</v>
      </c>
      <c r="M3" t="s">
        <v>34</v>
      </c>
    </row>
    <row r="4" spans="2:13" x14ac:dyDescent="0.2">
      <c r="B4" s="17" t="s">
        <v>126</v>
      </c>
      <c r="C4" s="21" t="s">
        <v>133</v>
      </c>
      <c r="D4" s="22">
        <v>43578</v>
      </c>
      <c r="E4" s="21" t="s">
        <v>134</v>
      </c>
      <c r="F4" s="24" t="s">
        <v>155</v>
      </c>
      <c r="G4" s="24"/>
      <c r="H4" s="23"/>
      <c r="K4" t="s">
        <v>2</v>
      </c>
      <c r="L4" s="2">
        <f>L3*L2</f>
        <v>344448</v>
      </c>
    </row>
    <row r="5" spans="2:13" x14ac:dyDescent="0.2">
      <c r="B5" s="17" t="s">
        <v>127</v>
      </c>
      <c r="C5" s="21" t="s">
        <v>135</v>
      </c>
      <c r="D5" s="22">
        <v>43693</v>
      </c>
      <c r="E5" s="21" t="s">
        <v>136</v>
      </c>
      <c r="F5" s="24" t="s">
        <v>137</v>
      </c>
      <c r="G5" s="24"/>
      <c r="H5" s="23"/>
      <c r="K5" t="s">
        <v>3</v>
      </c>
      <c r="L5" s="2">
        <f>5175+1</f>
        <v>5176</v>
      </c>
      <c r="M5" t="s">
        <v>34</v>
      </c>
    </row>
    <row r="6" spans="2:13" x14ac:dyDescent="0.2">
      <c r="B6" s="12" t="s">
        <v>130</v>
      </c>
      <c r="C6" s="21" t="s">
        <v>138</v>
      </c>
      <c r="D6" s="22">
        <v>41682</v>
      </c>
      <c r="E6" s="21" t="s">
        <v>139</v>
      </c>
      <c r="F6" s="24" t="s">
        <v>154</v>
      </c>
      <c r="G6" s="24"/>
      <c r="H6" s="23"/>
      <c r="K6" t="s">
        <v>4</v>
      </c>
      <c r="L6" s="2">
        <f>1593+3769+64527+2582</f>
        <v>72471</v>
      </c>
      <c r="M6" t="s">
        <v>34</v>
      </c>
    </row>
    <row r="7" spans="2:13" x14ac:dyDescent="0.2">
      <c r="B7" s="17" t="s">
        <v>140</v>
      </c>
      <c r="C7" s="21" t="s">
        <v>141</v>
      </c>
      <c r="D7" s="22">
        <v>42471</v>
      </c>
      <c r="E7" s="21" t="s">
        <v>143</v>
      </c>
      <c r="F7" s="24" t="s">
        <v>156</v>
      </c>
      <c r="G7" s="24"/>
      <c r="H7" s="23"/>
      <c r="K7" t="s">
        <v>5</v>
      </c>
      <c r="L7" s="2">
        <f>L4+L6-L5</f>
        <v>411743</v>
      </c>
    </row>
    <row r="8" spans="2:13" x14ac:dyDescent="0.2">
      <c r="B8" s="17" t="s">
        <v>144</v>
      </c>
      <c r="C8" s="21" t="s">
        <v>145</v>
      </c>
      <c r="D8" s="22">
        <v>45373</v>
      </c>
      <c r="E8" s="21" t="s">
        <v>146</v>
      </c>
      <c r="F8" s="24">
        <v>1</v>
      </c>
      <c r="G8" s="24"/>
      <c r="H8" s="23"/>
      <c r="L8" s="10"/>
    </row>
    <row r="9" spans="2:13" x14ac:dyDescent="0.2">
      <c r="B9" s="17" t="s">
        <v>147</v>
      </c>
      <c r="C9" s="21" t="s">
        <v>148</v>
      </c>
      <c r="D9" s="22">
        <v>45065</v>
      </c>
      <c r="E9" s="21" t="s">
        <v>149</v>
      </c>
      <c r="F9" s="24">
        <v>1</v>
      </c>
      <c r="G9" s="24"/>
      <c r="H9" s="23"/>
      <c r="K9" t="s">
        <v>57</v>
      </c>
    </row>
    <row r="10" spans="2:13" x14ac:dyDescent="0.2">
      <c r="B10" s="17" t="s">
        <v>150</v>
      </c>
      <c r="C10" s="21" t="s">
        <v>151</v>
      </c>
      <c r="D10" s="22">
        <v>42264</v>
      </c>
      <c r="E10" s="21" t="s">
        <v>152</v>
      </c>
      <c r="F10" s="24" t="s">
        <v>153</v>
      </c>
      <c r="G10" s="24"/>
      <c r="H10" s="23"/>
      <c r="K10" t="s">
        <v>60</v>
      </c>
    </row>
    <row r="11" spans="2:13" x14ac:dyDescent="0.2">
      <c r="B11" s="12" t="s">
        <v>70</v>
      </c>
      <c r="C11" s="21"/>
      <c r="D11" s="21"/>
      <c r="E11" s="21"/>
      <c r="F11" s="21"/>
      <c r="G11" s="21"/>
      <c r="H11" s="23"/>
      <c r="K11" t="s">
        <v>58</v>
      </c>
    </row>
    <row r="12" spans="2:13" x14ac:dyDescent="0.2">
      <c r="B12" s="17" t="s">
        <v>159</v>
      </c>
      <c r="C12" s="21" t="s">
        <v>183</v>
      </c>
      <c r="D12" s="22">
        <v>43822</v>
      </c>
      <c r="E12" s="21" t="s">
        <v>162</v>
      </c>
      <c r="F12" s="24" t="s">
        <v>161</v>
      </c>
      <c r="G12" s="24"/>
      <c r="H12" s="23"/>
      <c r="K12" t="s">
        <v>59</v>
      </c>
    </row>
    <row r="13" spans="2:13" x14ac:dyDescent="0.2">
      <c r="B13" s="17" t="s">
        <v>182</v>
      </c>
      <c r="C13" s="21" t="s">
        <v>183</v>
      </c>
      <c r="D13" s="22">
        <v>44467</v>
      </c>
      <c r="E13" s="21"/>
      <c r="F13" s="24">
        <v>1</v>
      </c>
      <c r="G13" s="24"/>
      <c r="H13" s="23"/>
      <c r="K13" t="s">
        <v>169</v>
      </c>
    </row>
    <row r="14" spans="2:13" x14ac:dyDescent="0.2">
      <c r="B14" s="12" t="s">
        <v>170</v>
      </c>
      <c r="C14" s="21"/>
      <c r="D14" s="22">
        <v>39981</v>
      </c>
      <c r="E14" s="21"/>
      <c r="F14" s="24">
        <v>1</v>
      </c>
      <c r="G14" s="24"/>
      <c r="H14" s="23"/>
    </row>
    <row r="15" spans="2:13" x14ac:dyDescent="0.2">
      <c r="B15" s="12" t="s">
        <v>171</v>
      </c>
      <c r="C15" s="21"/>
      <c r="D15" s="22">
        <v>40238</v>
      </c>
      <c r="E15" s="21"/>
      <c r="F15" s="24">
        <v>1</v>
      </c>
      <c r="G15" s="24"/>
      <c r="H15" s="23"/>
      <c r="K15" s="18" t="s">
        <v>192</v>
      </c>
    </row>
    <row r="16" spans="2:13" x14ac:dyDescent="0.2">
      <c r="B16" s="12" t="s">
        <v>172</v>
      </c>
      <c r="C16" s="21"/>
      <c r="D16" s="22">
        <v>35261</v>
      </c>
      <c r="E16" s="21"/>
      <c r="F16" s="24">
        <v>1</v>
      </c>
      <c r="G16" s="24"/>
      <c r="H16" s="23"/>
      <c r="K16" t="s">
        <v>191</v>
      </c>
    </row>
    <row r="17" spans="2:11" x14ac:dyDescent="0.2">
      <c r="B17" s="12" t="s">
        <v>173</v>
      </c>
      <c r="C17" s="21"/>
      <c r="D17" s="22">
        <v>37613</v>
      </c>
      <c r="E17" s="21"/>
      <c r="F17" s="24">
        <v>1</v>
      </c>
      <c r="G17" s="24"/>
      <c r="H17" s="23"/>
      <c r="K17" t="s">
        <v>190</v>
      </c>
    </row>
    <row r="18" spans="2:11" x14ac:dyDescent="0.2">
      <c r="B18" s="12" t="s">
        <v>174</v>
      </c>
      <c r="C18" s="21"/>
      <c r="D18" s="22">
        <v>43406</v>
      </c>
      <c r="E18" s="21"/>
      <c r="F18" s="24"/>
      <c r="G18" s="24"/>
      <c r="H18" s="23"/>
    </row>
    <row r="19" spans="2:11" x14ac:dyDescent="0.2">
      <c r="B19" s="12" t="s">
        <v>175</v>
      </c>
      <c r="C19" s="21"/>
      <c r="D19" s="22">
        <v>39933</v>
      </c>
      <c r="E19" s="21"/>
      <c r="F19" s="24">
        <v>1</v>
      </c>
      <c r="G19" s="24"/>
      <c r="H19" s="23"/>
    </row>
    <row r="20" spans="2:11" x14ac:dyDescent="0.2">
      <c r="B20" s="12" t="s">
        <v>176</v>
      </c>
      <c r="C20" s="21"/>
      <c r="D20" s="22">
        <v>41151</v>
      </c>
      <c r="E20" s="21"/>
      <c r="F20" s="24" t="s">
        <v>177</v>
      </c>
      <c r="G20" s="24"/>
      <c r="H20" s="23"/>
    </row>
    <row r="21" spans="2:11" x14ac:dyDescent="0.2">
      <c r="B21" s="12" t="s">
        <v>187</v>
      </c>
      <c r="C21" s="21" t="s">
        <v>215</v>
      </c>
      <c r="D21" s="22"/>
      <c r="E21" s="21"/>
      <c r="F21" s="24"/>
      <c r="G21" s="24"/>
      <c r="H21" s="23"/>
    </row>
    <row r="22" spans="2:11" x14ac:dyDescent="0.2">
      <c r="B22" s="13"/>
      <c r="C22" s="4"/>
      <c r="D22" s="4" t="s">
        <v>12</v>
      </c>
      <c r="E22" s="4"/>
      <c r="F22" s="4"/>
      <c r="G22" s="4"/>
      <c r="H22" s="5"/>
      <c r="K22" s="18" t="s">
        <v>178</v>
      </c>
    </row>
    <row r="23" spans="2:11" x14ac:dyDescent="0.2">
      <c r="B23" s="12" t="s">
        <v>157</v>
      </c>
      <c r="C23" s="21" t="s">
        <v>86</v>
      </c>
      <c r="D23" s="21" t="s">
        <v>85</v>
      </c>
      <c r="E23" s="21" t="s">
        <v>160</v>
      </c>
      <c r="F23" s="24">
        <v>1</v>
      </c>
      <c r="G23" s="24"/>
      <c r="H23" s="23"/>
      <c r="K23" t="s">
        <v>179</v>
      </c>
    </row>
    <row r="24" spans="2:11" x14ac:dyDescent="0.2">
      <c r="B24" s="17" t="s">
        <v>158</v>
      </c>
      <c r="C24" s="21" t="s">
        <v>87</v>
      </c>
      <c r="D24" s="21" t="s">
        <v>85</v>
      </c>
      <c r="E24" s="21" t="s">
        <v>163</v>
      </c>
      <c r="F24" s="24">
        <v>1</v>
      </c>
      <c r="G24" s="24"/>
      <c r="H24" s="23"/>
      <c r="K24" t="s">
        <v>180</v>
      </c>
    </row>
    <row r="25" spans="2:11" x14ac:dyDescent="0.2">
      <c r="B25" s="17" t="s">
        <v>89</v>
      </c>
      <c r="C25" s="21" t="s">
        <v>164</v>
      </c>
      <c r="D25" s="21" t="s">
        <v>85</v>
      </c>
      <c r="E25" s="21" t="s">
        <v>165</v>
      </c>
      <c r="F25" s="24">
        <v>1</v>
      </c>
      <c r="G25" s="24"/>
      <c r="H25" s="23"/>
      <c r="K25" t="s">
        <v>181</v>
      </c>
    </row>
    <row r="26" spans="2:11" x14ac:dyDescent="0.2">
      <c r="B26" s="17" t="s">
        <v>88</v>
      </c>
      <c r="C26" s="21" t="s">
        <v>90</v>
      </c>
      <c r="D26" s="21" t="s">
        <v>85</v>
      </c>
      <c r="E26" s="21" t="s">
        <v>166</v>
      </c>
      <c r="F26" s="24">
        <v>1</v>
      </c>
      <c r="G26" s="24"/>
      <c r="H26" s="23"/>
      <c r="K26" t="s">
        <v>95</v>
      </c>
    </row>
    <row r="27" spans="2:11" x14ac:dyDescent="0.2">
      <c r="B27" s="12" t="s">
        <v>91</v>
      </c>
      <c r="C27" s="21" t="s">
        <v>92</v>
      </c>
      <c r="D27" s="21" t="s">
        <v>85</v>
      </c>
      <c r="E27" s="21" t="s">
        <v>168</v>
      </c>
      <c r="F27" s="21" t="s">
        <v>167</v>
      </c>
      <c r="G27" s="21"/>
      <c r="H27" s="23"/>
    </row>
    <row r="28" spans="2:11" x14ac:dyDescent="0.2">
      <c r="B28" s="12" t="s">
        <v>93</v>
      </c>
      <c r="C28" s="21" t="s">
        <v>94</v>
      </c>
      <c r="D28" s="21" t="s">
        <v>85</v>
      </c>
      <c r="E28" s="21"/>
      <c r="F28" s="24">
        <v>1</v>
      </c>
      <c r="G28" s="24"/>
      <c r="H28" s="23"/>
    </row>
    <row r="29" spans="2:11" x14ac:dyDescent="0.2">
      <c r="B29" s="17" t="s">
        <v>95</v>
      </c>
      <c r="C29" s="21" t="s">
        <v>97</v>
      </c>
      <c r="D29" s="21" t="s">
        <v>96</v>
      </c>
      <c r="E29" s="21"/>
      <c r="F29" s="24">
        <v>1</v>
      </c>
      <c r="G29" s="24"/>
      <c r="H29" s="23"/>
    </row>
    <row r="30" spans="2:11" x14ac:dyDescent="0.2">
      <c r="B30" s="12" t="s">
        <v>98</v>
      </c>
      <c r="C30" s="21" t="s">
        <v>99</v>
      </c>
      <c r="D30" s="21" t="s">
        <v>96</v>
      </c>
      <c r="E30" s="21"/>
      <c r="F30" s="24">
        <v>1</v>
      </c>
      <c r="G30" s="24"/>
      <c r="H30" s="23"/>
    </row>
    <row r="31" spans="2:11" x14ac:dyDescent="0.2">
      <c r="B31" s="12" t="s">
        <v>100</v>
      </c>
      <c r="C31" s="21" t="s">
        <v>101</v>
      </c>
      <c r="D31" s="21" t="s">
        <v>96</v>
      </c>
      <c r="E31" s="21"/>
      <c r="F31" s="24">
        <v>1</v>
      </c>
      <c r="G31" s="24"/>
      <c r="H31" s="23"/>
    </row>
    <row r="32" spans="2:11" x14ac:dyDescent="0.2">
      <c r="B32" s="12" t="s">
        <v>102</v>
      </c>
      <c r="C32" s="21" t="s">
        <v>103</v>
      </c>
      <c r="D32" s="21" t="s">
        <v>96</v>
      </c>
      <c r="E32" s="21"/>
      <c r="F32" s="21"/>
      <c r="G32" s="21"/>
      <c r="H32" s="23"/>
    </row>
    <row r="33" spans="2:8" x14ac:dyDescent="0.2">
      <c r="B33" s="12" t="s">
        <v>104</v>
      </c>
      <c r="C33" s="21" t="s">
        <v>105</v>
      </c>
      <c r="D33" s="21" t="s">
        <v>96</v>
      </c>
      <c r="E33" s="21"/>
      <c r="F33" s="24"/>
      <c r="G33" s="24"/>
      <c r="H33" s="23"/>
    </row>
    <row r="34" spans="2:8" x14ac:dyDescent="0.2">
      <c r="B34" s="12" t="s">
        <v>106</v>
      </c>
      <c r="C34" s="21" t="s">
        <v>107</v>
      </c>
      <c r="D34" s="21" t="s">
        <v>96</v>
      </c>
      <c r="E34" s="21"/>
      <c r="F34" s="21"/>
      <c r="G34" s="21"/>
      <c r="H34" s="23"/>
    </row>
    <row r="35" spans="2:8" x14ac:dyDescent="0.2">
      <c r="B35" s="12" t="s">
        <v>108</v>
      </c>
      <c r="C35" s="21" t="s">
        <v>142</v>
      </c>
      <c r="D35" s="21" t="s">
        <v>96</v>
      </c>
      <c r="E35" s="21"/>
      <c r="F35" s="21"/>
      <c r="G35" s="21"/>
      <c r="H35" s="23"/>
    </row>
    <row r="36" spans="2:8" x14ac:dyDescent="0.2">
      <c r="B36" s="12" t="s">
        <v>109</v>
      </c>
      <c r="C36" s="21" t="s">
        <v>110</v>
      </c>
      <c r="D36" s="21" t="s">
        <v>96</v>
      </c>
      <c r="E36" s="21"/>
      <c r="F36" s="21"/>
      <c r="G36" s="21"/>
      <c r="H36" s="23"/>
    </row>
    <row r="37" spans="2:8" x14ac:dyDescent="0.2">
      <c r="B37" s="15" t="s">
        <v>111</v>
      </c>
      <c r="C37" s="16" t="s">
        <v>112</v>
      </c>
      <c r="D37" s="16" t="s">
        <v>96</v>
      </c>
      <c r="E37" s="16"/>
      <c r="F37" s="16"/>
      <c r="G37" s="16"/>
      <c r="H37" s="25"/>
    </row>
    <row r="38" spans="2:8" x14ac:dyDescent="0.2">
      <c r="C38" s="14"/>
    </row>
    <row r="39" spans="2:8" x14ac:dyDescent="0.2">
      <c r="C39" s="14"/>
    </row>
    <row r="40" spans="2:8" x14ac:dyDescent="0.2">
      <c r="C40" s="14"/>
    </row>
  </sheetData>
  <hyperlinks>
    <hyperlink ref="B5" location="rinvoq!A1" display="Rinvoq" xr:uid="{7CC3080C-E878-4AB7-AE19-B5A0FB430036}"/>
    <hyperlink ref="B24" location="tavapadon!A1" display="CVL-751 (Tavapadon)" xr:uid="{C1B028AC-9EA0-40D7-9F5E-1C0C70941FB6}"/>
    <hyperlink ref="B25" location="etentamig!A1" display="ABBV-383 (Etentamig)" xr:uid="{B88AA02B-0E9F-46BA-AAF0-127C26E89E0C}"/>
    <hyperlink ref="B26" location="'temab-a'!A1" display="ABBV-400 (Temab-A)" xr:uid="{5EFE2D10-0CF3-4C33-B8FA-BFDF016C5B5E}"/>
    <hyperlink ref="B29" location="'ABBV-113'!A1" display="ABBV-113" xr:uid="{BB0614A2-8B6D-4E8D-86F9-2273D245C1E6}"/>
    <hyperlink ref="B4" location="skyrizi!A1" display="Skyrizi (risankizumab-rzaa)" xr:uid="{8FFA1A29-8633-4357-B9F8-B2D1DCB8CFC5}"/>
    <hyperlink ref="B7" location="venclexta!A1" display="Venclexta (venetoclax)" xr:uid="{75CE1CD3-4773-44BE-BCC5-D16434CDF10F}"/>
    <hyperlink ref="B8" location="elahere!A1" display="Elahere (mirvetuximab soravtansine-gynx)" xr:uid="{3F8857C0-C26D-4384-A30B-B0D4B009F18F}"/>
    <hyperlink ref="B9" location="epkinly!A1" display="Epkinly (epcoritamab-bysp)" xr:uid="{7D27F271-A878-4647-955C-7A450D9B6298}"/>
    <hyperlink ref="B10" location="vraylar!A1" display="Vraylar (cariprazine)" xr:uid="{9BC3E881-B7C7-474C-BC32-8C9B19BDC452}"/>
    <hyperlink ref="B12" location="ubrelvy!A1" display="Ubrelvy (ubrogepant)" xr:uid="{11C63363-594D-4B4D-9845-F73AF8B96878}"/>
    <hyperlink ref="B13" location="quilipta!A1" display="Quilipta" xr:uid="{5B49ABA7-C5D7-4062-A262-59975F0E4A12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0A5F-090B-4747-B86C-EBACA1BCDB6B}">
  <dimension ref="A1:B9"/>
  <sheetViews>
    <sheetView workbookViewId="0">
      <selection activeCell="H25" sqref="H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86A00CD3-E25B-4326-B419-21D1E3CEF5D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76C4-3CE9-43F9-9831-814C3A96A653}">
  <dimension ref="A1:B9"/>
  <sheetViews>
    <sheetView workbookViewId="0">
      <selection activeCell="H21" sqref="H2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28A0DC4F-44AE-46F0-9A72-641FD5F76D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9C7E-E775-4256-BAF9-1A2D60146F66}">
  <dimension ref="A1:B9"/>
  <sheetViews>
    <sheetView workbookViewId="0">
      <selection activeCell="D18" sqref="D1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35EAEDAC-4ACB-4A1B-8A9A-352A4662E9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E3DF-9F8F-443B-9120-F0B4570C10E9}">
  <dimension ref="A1:B9"/>
  <sheetViews>
    <sheetView workbookViewId="0">
      <selection activeCell="E29" sqref="E2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B9CAAB7F-E611-4239-97B7-4E39F29B8F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D8D2-9C60-4AB7-950E-2A0156FE68E8}">
  <dimension ref="A1:B9"/>
  <sheetViews>
    <sheetView workbookViewId="0">
      <selection activeCell="F44" sqref="F4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ECDA7FD-B6CB-43BE-9BE1-A8F7B8840C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9E8-8FFF-497D-9D46-77A648CB2111}">
  <dimension ref="A1:B9"/>
  <sheetViews>
    <sheetView workbookViewId="0">
      <selection activeCell="E11" sqref="E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53F2D191-FC81-4512-A12C-86A508F8D65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4E64-0716-4A57-ABF9-151F8ACBD17D}">
  <dimension ref="A1:B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F97BE483-DC48-4A03-A06F-C82210BBF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7F5-3F26-4E65-930A-A4889CFBAE6E}">
  <dimension ref="A1:EF72"/>
  <sheetViews>
    <sheetView tabSelected="1" zoomScale="130" zoomScaleNormal="130" workbookViewId="0">
      <pane xSplit="2" ySplit="2" topLeftCell="T35" activePane="bottomRight" state="frozen"/>
      <selection pane="topRight" activeCell="C1" sqref="C1"/>
      <selection pane="bottomLeft" activeCell="A3" sqref="A3"/>
      <selection pane="bottomRight" activeCell="Y35" sqref="Y35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16384" width="9.140625" style="2"/>
  </cols>
  <sheetData>
    <row r="1" spans="1:26" x14ac:dyDescent="0.2">
      <c r="A1" s="6" t="s">
        <v>13</v>
      </c>
      <c r="G1" s="8">
        <v>45747</v>
      </c>
      <c r="H1" s="8">
        <v>45869</v>
      </c>
      <c r="N1" s="10"/>
      <c r="O1" s="10"/>
      <c r="P1" s="10"/>
      <c r="Q1" s="10"/>
      <c r="R1" s="10"/>
    </row>
    <row r="2" spans="1:26" x14ac:dyDescent="0.2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L2" s="11">
        <v>2020</v>
      </c>
      <c r="M2" s="11">
        <f>L2+1</f>
        <v>2021</v>
      </c>
      <c r="N2" s="11">
        <f t="shared" ref="N2:Z2" si="0">M2+1</f>
        <v>2022</v>
      </c>
      <c r="O2" s="11">
        <f t="shared" si="0"/>
        <v>2023</v>
      </c>
      <c r="P2" s="11">
        <f t="shared" si="0"/>
        <v>2024</v>
      </c>
      <c r="Q2" s="11">
        <f t="shared" si="0"/>
        <v>2025</v>
      </c>
      <c r="R2" s="11">
        <f t="shared" si="0"/>
        <v>2026</v>
      </c>
      <c r="S2" s="11">
        <f t="shared" si="0"/>
        <v>2027</v>
      </c>
      <c r="T2" s="11">
        <f t="shared" si="0"/>
        <v>2028</v>
      </c>
      <c r="U2" s="11">
        <f t="shared" si="0"/>
        <v>2029</v>
      </c>
      <c r="V2" s="11">
        <f t="shared" si="0"/>
        <v>2030</v>
      </c>
      <c r="W2" s="11">
        <f t="shared" si="0"/>
        <v>2031</v>
      </c>
      <c r="X2" s="11">
        <f t="shared" si="0"/>
        <v>2032</v>
      </c>
      <c r="Y2" s="11">
        <f t="shared" si="0"/>
        <v>2033</v>
      </c>
      <c r="Z2" s="11">
        <f t="shared" si="0"/>
        <v>2034</v>
      </c>
    </row>
    <row r="3" spans="1:26" x14ac:dyDescent="0.2">
      <c r="B3" s="2" t="s">
        <v>63</v>
      </c>
      <c r="C3" s="2">
        <v>2008</v>
      </c>
      <c r="D3" s="2">
        <v>2727</v>
      </c>
      <c r="E3" s="2">
        <v>3205</v>
      </c>
      <c r="F3" s="2">
        <v>3778</v>
      </c>
      <c r="G3" s="2">
        <v>3425</v>
      </c>
      <c r="H3" s="2">
        <v>4423</v>
      </c>
      <c r="I3" s="2">
        <f>H3*1.06</f>
        <v>4688.38</v>
      </c>
      <c r="J3" s="2">
        <f>I3*1.07</f>
        <v>5016.5666000000001</v>
      </c>
      <c r="N3" s="2">
        <v>5165</v>
      </c>
      <c r="O3" s="2">
        <v>7763</v>
      </c>
      <c r="P3" s="2">
        <v>11718</v>
      </c>
      <c r="Q3" s="2">
        <f t="shared" ref="Q3:Q17" si="1">SUM(G3:J3)</f>
        <v>17552.946600000003</v>
      </c>
      <c r="R3" s="2">
        <f>Q3*1.07</f>
        <v>18781.652862000003</v>
      </c>
      <c r="S3" s="2">
        <f>R3*1.07</f>
        <v>20096.368562340005</v>
      </c>
      <c r="T3" s="2">
        <f t="shared" ref="T3:Z3" si="2">S3*1.07</f>
        <v>21503.114361703807</v>
      </c>
      <c r="U3" s="2">
        <f t="shared" si="2"/>
        <v>23008.332367023075</v>
      </c>
      <c r="V3" s="2">
        <f t="shared" si="2"/>
        <v>24618.915632714692</v>
      </c>
      <c r="W3" s="2">
        <f t="shared" si="2"/>
        <v>26342.239727004722</v>
      </c>
      <c r="X3" s="2">
        <f t="shared" si="2"/>
        <v>28186.196507895056</v>
      </c>
      <c r="Y3" s="2">
        <f t="shared" si="2"/>
        <v>30159.230263447713</v>
      </c>
      <c r="Z3" s="2">
        <f t="shared" si="2"/>
        <v>32270.376381889055</v>
      </c>
    </row>
    <row r="4" spans="1:26" x14ac:dyDescent="0.2">
      <c r="B4" s="2" t="s">
        <v>64</v>
      </c>
      <c r="C4" s="2">
        <v>1093</v>
      </c>
      <c r="D4" s="2">
        <v>1430</v>
      </c>
      <c r="E4" s="2">
        <v>1614</v>
      </c>
      <c r="F4" s="2">
        <v>1834</v>
      </c>
      <c r="G4" s="2">
        <v>1718</v>
      </c>
      <c r="H4" s="2">
        <v>2028</v>
      </c>
      <c r="I4" s="2">
        <f>H4*1.06</f>
        <v>2149.6800000000003</v>
      </c>
      <c r="J4" s="2">
        <f>I4*1.07</f>
        <v>2300.1576000000005</v>
      </c>
      <c r="N4" s="2">
        <v>2522</v>
      </c>
      <c r="O4" s="2">
        <v>3969</v>
      </c>
      <c r="P4" s="2">
        <v>5971</v>
      </c>
      <c r="Q4" s="2">
        <f t="shared" si="1"/>
        <v>8195.8376000000007</v>
      </c>
      <c r="R4" s="2">
        <f>Q4*1.16</f>
        <v>9507.1716159999996</v>
      </c>
      <c r="S4" s="2">
        <f>R4*1.16</f>
        <v>11028.319074559999</v>
      </c>
      <c r="T4" s="2">
        <f>S4*1.08</f>
        <v>11910.584600524799</v>
      </c>
      <c r="U4" s="2">
        <f t="shared" ref="U4:Z4" si="3">T4*1.08</f>
        <v>12863.431368566784</v>
      </c>
      <c r="V4" s="2">
        <f t="shared" si="3"/>
        <v>13892.505878052127</v>
      </c>
      <c r="W4" s="2">
        <f t="shared" si="3"/>
        <v>15003.906348296297</v>
      </c>
      <c r="X4" s="2">
        <f t="shared" si="3"/>
        <v>16204.218856160001</v>
      </c>
      <c r="Y4" s="2">
        <f t="shared" si="3"/>
        <v>17500.556364652803</v>
      </c>
      <c r="Z4" s="2">
        <f t="shared" si="3"/>
        <v>18900.600873825028</v>
      </c>
    </row>
    <row r="5" spans="1:26" x14ac:dyDescent="0.2">
      <c r="B5" s="2" t="s">
        <v>62</v>
      </c>
      <c r="C5" s="2">
        <v>2270</v>
      </c>
      <c r="D5" s="2">
        <v>2814</v>
      </c>
      <c r="E5" s="2">
        <v>2227</v>
      </c>
      <c r="F5" s="2">
        <v>1682</v>
      </c>
      <c r="G5" s="2">
        <v>1121</v>
      </c>
      <c r="H5" s="2">
        <v>1180</v>
      </c>
      <c r="I5" s="2">
        <f>H5*0.7</f>
        <v>826</v>
      </c>
      <c r="J5" s="2">
        <f>I5*0.7</f>
        <v>578.19999999999993</v>
      </c>
      <c r="N5" s="2">
        <v>21237</v>
      </c>
      <c r="O5" s="2">
        <v>14404</v>
      </c>
      <c r="P5" s="2">
        <v>8993</v>
      </c>
      <c r="Q5" s="2">
        <f t="shared" si="1"/>
        <v>3705.2</v>
      </c>
      <c r="R5" s="2">
        <v>0</v>
      </c>
    </row>
    <row r="6" spans="1:26" x14ac:dyDescent="0.2">
      <c r="B6" s="2" t="s">
        <v>69</v>
      </c>
      <c r="C6" s="2">
        <v>694</v>
      </c>
      <c r="D6" s="2">
        <v>774</v>
      </c>
      <c r="E6" s="2">
        <v>875</v>
      </c>
      <c r="F6" s="2">
        <v>924</v>
      </c>
      <c r="G6" s="2">
        <v>765</v>
      </c>
      <c r="H6" s="2">
        <v>900</v>
      </c>
      <c r="I6" s="2">
        <f>H6*1.07</f>
        <v>963</v>
      </c>
      <c r="J6" s="2">
        <f>I6*1.07</f>
        <v>1030.4100000000001</v>
      </c>
      <c r="N6" s="2">
        <v>2038</v>
      </c>
      <c r="O6" s="2">
        <v>2759</v>
      </c>
      <c r="P6" s="2">
        <v>3267</v>
      </c>
      <c r="Q6" s="2">
        <f t="shared" si="1"/>
        <v>3658.41</v>
      </c>
      <c r="R6" s="2">
        <f>Q6*1.03</f>
        <v>3768.1623</v>
      </c>
      <c r="S6" s="2">
        <f t="shared" ref="S6:Z6" si="4">R6*1.03</f>
        <v>3881.2071690000002</v>
      </c>
      <c r="T6" s="2">
        <f t="shared" si="4"/>
        <v>3997.6433840700001</v>
      </c>
      <c r="U6" s="2">
        <f t="shared" si="4"/>
        <v>4117.5726855921002</v>
      </c>
      <c r="V6" s="2">
        <f t="shared" si="4"/>
        <v>4241.0998661598633</v>
      </c>
      <c r="W6" s="2">
        <f t="shared" si="4"/>
        <v>4368.332862144659</v>
      </c>
      <c r="X6" s="2">
        <f t="shared" si="4"/>
        <v>4499.3828480089987</v>
      </c>
      <c r="Y6" s="2">
        <f t="shared" si="4"/>
        <v>4634.364333449269</v>
      </c>
      <c r="Z6" s="2">
        <f t="shared" si="4"/>
        <v>4773.3952634527468</v>
      </c>
    </row>
    <row r="7" spans="1:26" x14ac:dyDescent="0.2">
      <c r="B7" s="2" t="s">
        <v>79</v>
      </c>
      <c r="C7" s="2">
        <v>748</v>
      </c>
      <c r="D7" s="2">
        <v>814</v>
      </c>
      <c r="E7" s="2">
        <v>848</v>
      </c>
      <c r="F7" s="2">
        <v>873</v>
      </c>
      <c r="G7" s="2">
        <v>866</v>
      </c>
      <c r="H7" s="2">
        <v>928</v>
      </c>
      <c r="I7" s="2">
        <f>H7*1.04</f>
        <v>965.12</v>
      </c>
      <c r="J7" s="2">
        <f>I7*1.04</f>
        <v>1003.7248000000001</v>
      </c>
      <c r="N7" s="2">
        <v>2719</v>
      </c>
      <c r="O7" s="2">
        <v>2991</v>
      </c>
      <c r="P7" s="2">
        <v>3283</v>
      </c>
      <c r="Q7" s="2">
        <f t="shared" si="1"/>
        <v>3762.8447999999999</v>
      </c>
      <c r="R7" s="2">
        <f t="shared" ref="R7:U7" si="5">Q7*1.07</f>
        <v>4026.2439359999998</v>
      </c>
      <c r="S7" s="2">
        <f t="shared" si="5"/>
        <v>4308.0810115200002</v>
      </c>
      <c r="T7" s="2">
        <f t="shared" si="5"/>
        <v>4609.6466823264009</v>
      </c>
      <c r="U7" s="2">
        <f t="shared" si="5"/>
        <v>4932.3219500892492</v>
      </c>
      <c r="V7" s="2">
        <f>U7*1.03</f>
        <v>5080.2916085919269</v>
      </c>
      <c r="W7" s="2">
        <f t="shared" ref="W7:Z7" si="6">V7*1.03</f>
        <v>5232.7003568496848</v>
      </c>
      <c r="X7" s="2">
        <f t="shared" si="6"/>
        <v>5389.6813675551757</v>
      </c>
      <c r="Y7" s="2">
        <f t="shared" si="6"/>
        <v>5551.3718085818309</v>
      </c>
      <c r="Z7" s="2">
        <f t="shared" si="6"/>
        <v>5717.9129628392857</v>
      </c>
    </row>
    <row r="8" spans="1:26" x14ac:dyDescent="0.2">
      <c r="B8" s="2" t="s">
        <v>71</v>
      </c>
      <c r="C8" s="2">
        <v>203</v>
      </c>
      <c r="D8" s="2">
        <v>231</v>
      </c>
      <c r="E8" s="2">
        <v>269</v>
      </c>
      <c r="F8" s="2">
        <v>303</v>
      </c>
      <c r="G8" s="2">
        <v>240</v>
      </c>
      <c r="H8" s="2">
        <v>338</v>
      </c>
      <c r="I8" s="2">
        <f>H8*1.05</f>
        <v>354.90000000000003</v>
      </c>
      <c r="J8" s="2">
        <f>I8*1.05</f>
        <v>372.64500000000004</v>
      </c>
      <c r="N8" s="2">
        <v>680</v>
      </c>
      <c r="O8" s="2">
        <v>815</v>
      </c>
      <c r="P8" s="2">
        <v>1006</v>
      </c>
      <c r="Q8" s="2">
        <f t="shared" si="1"/>
        <v>1305.5450000000001</v>
      </c>
      <c r="R8" s="2">
        <f>Q8*1.05</f>
        <v>1370.8222500000002</v>
      </c>
      <c r="S8" s="2">
        <f t="shared" ref="S8:Z8" si="7">R8*1.05</f>
        <v>1439.3633625000002</v>
      </c>
      <c r="T8" s="2">
        <f t="shared" si="7"/>
        <v>1511.3315306250004</v>
      </c>
      <c r="U8" s="2">
        <f t="shared" si="7"/>
        <v>1586.8981071562505</v>
      </c>
      <c r="V8" s="2">
        <f t="shared" si="7"/>
        <v>1666.2430125140631</v>
      </c>
      <c r="W8" s="2">
        <f t="shared" si="7"/>
        <v>1749.5551631397664</v>
      </c>
      <c r="X8" s="2">
        <f t="shared" si="7"/>
        <v>1837.0329212967547</v>
      </c>
      <c r="Y8" s="2">
        <f t="shared" si="7"/>
        <v>1928.8845673615924</v>
      </c>
      <c r="Z8" s="2">
        <f t="shared" si="7"/>
        <v>2025.328795729672</v>
      </c>
    </row>
    <row r="9" spans="1:26" x14ac:dyDescent="0.2">
      <c r="B9" s="2" t="s">
        <v>81</v>
      </c>
      <c r="C9" s="2">
        <v>131</v>
      </c>
      <c r="D9" s="2">
        <v>150</v>
      </c>
      <c r="E9" s="2">
        <v>176</v>
      </c>
      <c r="F9" s="2">
        <v>201</v>
      </c>
      <c r="G9" s="2">
        <v>193</v>
      </c>
      <c r="H9" s="2">
        <v>267</v>
      </c>
      <c r="I9" s="2">
        <f>H9*1.1</f>
        <v>293.70000000000005</v>
      </c>
      <c r="J9" s="2">
        <f>I9*1.1</f>
        <v>323.07000000000005</v>
      </c>
      <c r="N9" s="2">
        <v>158</v>
      </c>
      <c r="O9" s="2">
        <v>408</v>
      </c>
      <c r="P9" s="2">
        <v>658</v>
      </c>
      <c r="Q9" s="2">
        <f t="shared" si="1"/>
        <v>1076.77</v>
      </c>
      <c r="R9" s="2">
        <f>Q9*1.05</f>
        <v>1130.6085</v>
      </c>
      <c r="S9" s="2">
        <f t="shared" ref="S9:Z9" si="8">R9*1.05</f>
        <v>1187.1389250000002</v>
      </c>
      <c r="T9" s="2">
        <f t="shared" si="8"/>
        <v>1246.4958712500002</v>
      </c>
      <c r="U9" s="2">
        <f t="shared" si="8"/>
        <v>1308.8206648125001</v>
      </c>
      <c r="V9" s="2">
        <f t="shared" si="8"/>
        <v>1374.2616980531252</v>
      </c>
      <c r="W9" s="2">
        <f t="shared" si="8"/>
        <v>1442.9747829557816</v>
      </c>
      <c r="X9" s="2">
        <f t="shared" si="8"/>
        <v>1515.1235221035708</v>
      </c>
      <c r="Y9" s="2">
        <f t="shared" si="8"/>
        <v>1590.8796982087495</v>
      </c>
      <c r="Z9" s="2">
        <f t="shared" si="8"/>
        <v>1670.423683119187</v>
      </c>
    </row>
    <row r="10" spans="1:26" x14ac:dyDescent="0.2">
      <c r="B10" s="2" t="s">
        <v>187</v>
      </c>
      <c r="G10" s="2">
        <v>63</v>
      </c>
      <c r="H10" s="2">
        <v>98</v>
      </c>
      <c r="I10" s="2">
        <f>H10*1.2</f>
        <v>117.6</v>
      </c>
      <c r="J10" s="2">
        <f>I10*1.2</f>
        <v>141.11999999999998</v>
      </c>
      <c r="Q10" s="2">
        <f t="shared" si="1"/>
        <v>419.72</v>
      </c>
      <c r="R10" s="2">
        <f>Q10*1.1</f>
        <v>461.69200000000006</v>
      </c>
      <c r="S10" s="2">
        <f t="shared" ref="S10:U10" si="9">R10*1.1</f>
        <v>507.86120000000011</v>
      </c>
      <c r="T10" s="2">
        <f t="shared" si="9"/>
        <v>558.64732000000015</v>
      </c>
      <c r="U10" s="2">
        <f t="shared" si="9"/>
        <v>614.51205200000027</v>
      </c>
      <c r="V10" s="2">
        <f>U10*1.05</f>
        <v>645.23765460000027</v>
      </c>
      <c r="W10" s="2">
        <f t="shared" ref="W10:Z10" si="10">V10*1.05</f>
        <v>677.49953733000029</v>
      </c>
      <c r="X10" s="2">
        <f t="shared" si="10"/>
        <v>711.37451419650029</v>
      </c>
      <c r="Y10" s="2">
        <f t="shared" si="10"/>
        <v>746.94323990632529</v>
      </c>
      <c r="Z10" s="2">
        <f t="shared" si="10"/>
        <v>784.29040190164153</v>
      </c>
    </row>
    <row r="11" spans="1:26" x14ac:dyDescent="0.2">
      <c r="B11" s="2" t="s">
        <v>70</v>
      </c>
      <c r="C11" s="2">
        <v>115</v>
      </c>
      <c r="D11" s="2">
        <v>113</v>
      </c>
      <c r="E11" s="2">
        <v>111</v>
      </c>
      <c r="F11" s="2">
        <v>108</v>
      </c>
      <c r="G11" s="2">
        <v>96</v>
      </c>
      <c r="H11" s="2">
        <v>97</v>
      </c>
      <c r="I11" s="2">
        <f>H11*1.04</f>
        <v>100.88000000000001</v>
      </c>
      <c r="J11" s="2">
        <f>I11*1.04</f>
        <v>104.91520000000001</v>
      </c>
      <c r="N11" s="2">
        <v>458</v>
      </c>
      <c r="O11" s="2">
        <v>468</v>
      </c>
      <c r="P11" s="2">
        <v>447</v>
      </c>
      <c r="Q11" s="2">
        <f t="shared" si="1"/>
        <v>398.79520000000002</v>
      </c>
      <c r="R11" s="2">
        <f t="shared" ref="R11:Z11" si="11">Q11*1.03</f>
        <v>410.75905600000004</v>
      </c>
      <c r="S11" s="2">
        <f t="shared" si="11"/>
        <v>423.08182768000006</v>
      </c>
      <c r="T11" s="2">
        <f t="shared" si="11"/>
        <v>435.7742825104001</v>
      </c>
      <c r="U11" s="2">
        <f t="shared" si="11"/>
        <v>448.84751098571212</v>
      </c>
      <c r="V11" s="2">
        <f t="shared" si="11"/>
        <v>462.31293631528348</v>
      </c>
      <c r="W11" s="2">
        <f t="shared" si="11"/>
        <v>476.18232440474202</v>
      </c>
      <c r="X11" s="2">
        <f t="shared" si="11"/>
        <v>490.46779413688427</v>
      </c>
      <c r="Y11" s="2">
        <f t="shared" si="11"/>
        <v>505.1818279609908</v>
      </c>
      <c r="Z11" s="2">
        <f t="shared" si="11"/>
        <v>520.33728279982051</v>
      </c>
    </row>
    <row r="12" spans="1:26" x14ac:dyDescent="0.2">
      <c r="B12" s="2" t="s">
        <v>65</v>
      </c>
      <c r="C12" s="2">
        <v>838</v>
      </c>
      <c r="D12" s="2">
        <v>833</v>
      </c>
      <c r="E12" s="2">
        <v>828</v>
      </c>
      <c r="F12" s="2">
        <v>848</v>
      </c>
      <c r="G12" s="2">
        <v>738</v>
      </c>
      <c r="H12" s="2">
        <v>754</v>
      </c>
      <c r="I12" s="2">
        <f>H12*1.04</f>
        <v>784.16000000000008</v>
      </c>
      <c r="J12" s="2">
        <f>I12*1.04</f>
        <v>815.52640000000008</v>
      </c>
      <c r="N12" s="2">
        <v>4568</v>
      </c>
      <c r="O12" s="2">
        <v>3596</v>
      </c>
      <c r="P12" s="2">
        <v>3347</v>
      </c>
      <c r="Q12" s="2">
        <f t="shared" si="1"/>
        <v>3091.6864</v>
      </c>
      <c r="R12" s="2">
        <v>0</v>
      </c>
    </row>
    <row r="13" spans="1:26" x14ac:dyDescent="0.2">
      <c r="B13" s="2" t="s">
        <v>66</v>
      </c>
      <c r="C13" s="2">
        <v>614</v>
      </c>
      <c r="D13" s="2">
        <v>637</v>
      </c>
      <c r="E13" s="2">
        <v>677</v>
      </c>
      <c r="F13" s="2">
        <v>655</v>
      </c>
      <c r="G13" s="2">
        <v>665</v>
      </c>
      <c r="H13" s="2">
        <v>691</v>
      </c>
      <c r="I13" s="2">
        <f>H13*1.05</f>
        <v>725.55000000000007</v>
      </c>
      <c r="J13" s="2">
        <f>I13*1.05</f>
        <v>761.8275000000001</v>
      </c>
      <c r="N13" s="2">
        <v>2009</v>
      </c>
      <c r="O13" s="2">
        <v>2288</v>
      </c>
      <c r="P13" s="2">
        <v>2583</v>
      </c>
      <c r="Q13" s="2">
        <f t="shared" si="1"/>
        <v>2843.3775000000005</v>
      </c>
      <c r="R13" s="2">
        <f>Q13*1.03</f>
        <v>2928.6788250000004</v>
      </c>
      <c r="S13" s="2">
        <f t="shared" ref="S13:Z13" si="12">R13*1.03</f>
        <v>3016.5391897500003</v>
      </c>
      <c r="T13" s="2">
        <f t="shared" si="12"/>
        <v>3107.0353654425003</v>
      </c>
      <c r="U13" s="2">
        <f t="shared" si="12"/>
        <v>3200.2464264057753</v>
      </c>
      <c r="V13" s="2">
        <f t="shared" si="12"/>
        <v>3296.2538191979488</v>
      </c>
      <c r="W13" s="2">
        <f t="shared" si="12"/>
        <v>3395.1414337738875</v>
      </c>
      <c r="X13" s="2">
        <f t="shared" si="12"/>
        <v>3496.995676787104</v>
      </c>
      <c r="Y13" s="2">
        <f t="shared" si="12"/>
        <v>3601.9055470907174</v>
      </c>
      <c r="Z13" s="2">
        <f t="shared" si="12"/>
        <v>3709.9627135034389</v>
      </c>
    </row>
    <row r="14" spans="1:26" x14ac:dyDescent="0.2">
      <c r="B14" s="2" t="s">
        <v>67</v>
      </c>
      <c r="C14" s="2">
        <v>64</v>
      </c>
      <c r="D14" s="2">
        <v>128</v>
      </c>
      <c r="E14" s="2">
        <v>139</v>
      </c>
      <c r="F14" s="2">
        <v>148</v>
      </c>
      <c r="G14" s="2">
        <v>179</v>
      </c>
      <c r="H14" s="2">
        <v>159</v>
      </c>
      <c r="I14" s="2">
        <f>H14*1.1</f>
        <v>174.9</v>
      </c>
      <c r="J14" s="2">
        <f>I14*1.1</f>
        <v>192.39000000000001</v>
      </c>
      <c r="P14" s="2">
        <v>479</v>
      </c>
      <c r="Q14" s="2">
        <f t="shared" si="1"/>
        <v>705.29</v>
      </c>
      <c r="R14" s="2">
        <f>Q14*1.03</f>
        <v>726.44870000000003</v>
      </c>
      <c r="S14" s="2">
        <f t="shared" ref="S14:Z14" si="13">R14*1.03</f>
        <v>748.24216100000001</v>
      </c>
      <c r="T14" s="2">
        <f t="shared" si="13"/>
        <v>770.68942583</v>
      </c>
      <c r="U14" s="2">
        <f t="shared" si="13"/>
        <v>793.81010860490005</v>
      </c>
      <c r="V14" s="2">
        <f t="shared" si="13"/>
        <v>817.62441186304704</v>
      </c>
      <c r="W14" s="2">
        <f t="shared" si="13"/>
        <v>842.15314421893845</v>
      </c>
      <c r="X14" s="2">
        <f t="shared" si="13"/>
        <v>867.41773854550661</v>
      </c>
      <c r="Y14" s="2">
        <f t="shared" si="13"/>
        <v>893.44027070187178</v>
      </c>
      <c r="Z14" s="2">
        <f t="shared" si="13"/>
        <v>920.24347882292795</v>
      </c>
    </row>
    <row r="15" spans="1:26" x14ac:dyDescent="0.2">
      <c r="B15" s="2" t="s">
        <v>68</v>
      </c>
      <c r="C15" s="2">
        <v>27</v>
      </c>
      <c r="D15" s="2">
        <v>36</v>
      </c>
      <c r="E15" s="2">
        <v>43</v>
      </c>
      <c r="F15" s="2">
        <v>40</v>
      </c>
      <c r="G15" s="2">
        <v>51</v>
      </c>
      <c r="H15" s="2">
        <v>70</v>
      </c>
      <c r="I15" s="2">
        <f>H15*1.2</f>
        <v>84</v>
      </c>
      <c r="J15" s="2">
        <f>I15*1.2</f>
        <v>100.8</v>
      </c>
      <c r="O15" s="2">
        <v>31</v>
      </c>
      <c r="P15" s="2">
        <v>146</v>
      </c>
      <c r="Q15" s="2">
        <f t="shared" si="1"/>
        <v>305.8</v>
      </c>
      <c r="R15" s="2">
        <f>Q15*1.03</f>
        <v>314.97400000000005</v>
      </c>
      <c r="S15" s="2">
        <f t="shared" ref="S15:Z15" si="14">R15*1.03</f>
        <v>324.42322000000007</v>
      </c>
      <c r="T15" s="2">
        <f t="shared" si="14"/>
        <v>334.15591660000007</v>
      </c>
      <c r="U15" s="2">
        <f t="shared" si="14"/>
        <v>344.18059409800009</v>
      </c>
      <c r="V15" s="2">
        <f t="shared" si="14"/>
        <v>354.50601192094013</v>
      </c>
      <c r="W15" s="2">
        <f t="shared" si="14"/>
        <v>365.14119227856833</v>
      </c>
      <c r="X15" s="2">
        <f t="shared" si="14"/>
        <v>376.09542804692541</v>
      </c>
      <c r="Y15" s="2">
        <f t="shared" si="14"/>
        <v>387.3782908883332</v>
      </c>
      <c r="Z15" s="2">
        <f t="shared" si="14"/>
        <v>398.99963961498321</v>
      </c>
    </row>
    <row r="16" spans="1:26" x14ac:dyDescent="0.2">
      <c r="B16" s="2" t="s">
        <v>80</v>
      </c>
      <c r="C16" s="2">
        <v>633</v>
      </c>
      <c r="D16" s="2">
        <v>729</v>
      </c>
      <c r="E16" s="2">
        <v>671</v>
      </c>
      <c r="F16" s="2">
        <v>687</v>
      </c>
      <c r="G16" s="2">
        <v>556</v>
      </c>
      <c r="H16" s="2">
        <v>692</v>
      </c>
      <c r="I16" s="2">
        <f t="shared" ref="I16:J19" si="15">H16*1.03</f>
        <v>712.76</v>
      </c>
      <c r="J16" s="2">
        <f t="shared" si="15"/>
        <v>734.14279999999997</v>
      </c>
      <c r="N16" s="2">
        <v>2615</v>
      </c>
      <c r="O16" s="2">
        <v>2682</v>
      </c>
      <c r="P16" s="2">
        <v>2720</v>
      </c>
      <c r="Q16" s="2">
        <f t="shared" si="1"/>
        <v>2694.9027999999998</v>
      </c>
      <c r="R16" s="2">
        <f t="shared" ref="R16:U16" si="16">Q16*1.07</f>
        <v>2883.5459959999998</v>
      </c>
      <c r="S16" s="2">
        <f t="shared" si="16"/>
        <v>3085.3942157199999</v>
      </c>
      <c r="T16" s="2">
        <f t="shared" si="16"/>
        <v>3301.3718108204002</v>
      </c>
      <c r="U16" s="2">
        <f t="shared" si="16"/>
        <v>3532.4678375778285</v>
      </c>
      <c r="V16" s="2">
        <f>U16*1.03</f>
        <v>3638.4418727051634</v>
      </c>
      <c r="W16" s="2">
        <f t="shared" ref="W16:Z16" si="17">V16*1.03</f>
        <v>3747.5951288863184</v>
      </c>
      <c r="X16" s="2">
        <f t="shared" si="17"/>
        <v>3860.0229827529079</v>
      </c>
      <c r="Y16" s="2">
        <f t="shared" si="17"/>
        <v>3975.823672235495</v>
      </c>
      <c r="Z16" s="2">
        <f t="shared" si="17"/>
        <v>4095.0983824025598</v>
      </c>
    </row>
    <row r="17" spans="1:26" x14ac:dyDescent="0.2">
      <c r="B17" s="2" t="s">
        <v>78</v>
      </c>
      <c r="C17" s="2">
        <v>297</v>
      </c>
      <c r="D17" s="2">
        <v>343</v>
      </c>
      <c r="E17" s="2">
        <v>258</v>
      </c>
      <c r="F17" s="2">
        <v>279</v>
      </c>
      <c r="G17" s="2">
        <v>231</v>
      </c>
      <c r="H17" s="2">
        <v>260</v>
      </c>
      <c r="I17" s="2">
        <f t="shared" si="15"/>
        <v>267.8</v>
      </c>
      <c r="J17" s="2">
        <f t="shared" si="15"/>
        <v>275.834</v>
      </c>
      <c r="N17" s="2">
        <v>1428</v>
      </c>
      <c r="O17" s="2">
        <v>1378</v>
      </c>
      <c r="P17" s="2">
        <v>1177</v>
      </c>
      <c r="Q17" s="2">
        <f t="shared" si="1"/>
        <v>1034.634</v>
      </c>
      <c r="R17" s="2">
        <f t="shared" ref="R17:V17" si="18">Q17*1.03</f>
        <v>1065.67302</v>
      </c>
      <c r="S17" s="2">
        <f t="shared" si="18"/>
        <v>1097.6432106</v>
      </c>
      <c r="T17" s="2">
        <f t="shared" si="18"/>
        <v>1130.572506918</v>
      </c>
      <c r="U17" s="2">
        <f t="shared" si="18"/>
        <v>1164.4896821255402</v>
      </c>
      <c r="V17" s="2">
        <f t="shared" si="18"/>
        <v>1199.4243725893064</v>
      </c>
      <c r="W17" s="2">
        <f t="shared" ref="W17:Z17" si="19">V17*1.03</f>
        <v>1235.4071037669855</v>
      </c>
      <c r="X17" s="2">
        <f t="shared" si="19"/>
        <v>1272.4693168799952</v>
      </c>
      <c r="Y17" s="2">
        <f t="shared" si="19"/>
        <v>1310.6433963863951</v>
      </c>
      <c r="Z17" s="2">
        <f t="shared" si="19"/>
        <v>1349.9626982779871</v>
      </c>
    </row>
    <row r="18" spans="1:26" x14ac:dyDescent="0.2">
      <c r="B18" s="2" t="s">
        <v>72</v>
      </c>
      <c r="C18" s="2">
        <v>131</v>
      </c>
      <c r="D18" s="2">
        <v>124</v>
      </c>
      <c r="E18" s="2">
        <v>119</v>
      </c>
      <c r="F18" s="2">
        <v>120</v>
      </c>
      <c r="G18" s="2">
        <v>123</v>
      </c>
      <c r="H18" s="2">
        <v>125</v>
      </c>
      <c r="I18" s="2">
        <f t="shared" si="15"/>
        <v>128.75</v>
      </c>
      <c r="J18" s="2">
        <f t="shared" si="15"/>
        <v>132.61250000000001</v>
      </c>
      <c r="N18" s="2">
        <v>428</v>
      </c>
      <c r="O18" s="2">
        <v>472</v>
      </c>
      <c r="P18" s="2">
        <v>494</v>
      </c>
      <c r="Q18" s="2">
        <f t="shared" ref="Q18:Q26" si="20">SUM(G18:J18)</f>
        <v>509.36250000000001</v>
      </c>
      <c r="R18" s="2">
        <f t="shared" ref="R18:Z18" si="21">Q18*1.03</f>
        <v>524.64337499999999</v>
      </c>
      <c r="S18" s="2">
        <f t="shared" si="21"/>
        <v>540.38267625000003</v>
      </c>
      <c r="T18" s="2">
        <f t="shared" si="21"/>
        <v>556.5941565375</v>
      </c>
      <c r="U18" s="2">
        <f t="shared" si="21"/>
        <v>573.29198123362505</v>
      </c>
      <c r="V18" s="2">
        <f t="shared" si="21"/>
        <v>590.49074067063384</v>
      </c>
      <c r="W18" s="2">
        <f t="shared" si="21"/>
        <v>608.20546289075287</v>
      </c>
      <c r="X18" s="2">
        <f t="shared" si="21"/>
        <v>626.45162677747544</v>
      </c>
      <c r="Y18" s="2">
        <f t="shared" si="21"/>
        <v>645.2451755807997</v>
      </c>
      <c r="Z18" s="2">
        <f t="shared" si="21"/>
        <v>664.60253084822375</v>
      </c>
    </row>
    <row r="19" spans="1:26" x14ac:dyDescent="0.2">
      <c r="B19" s="2" t="s">
        <v>73</v>
      </c>
      <c r="C19" s="2">
        <v>91</v>
      </c>
      <c r="D19" s="2">
        <v>103</v>
      </c>
      <c r="E19" s="2">
        <v>116</v>
      </c>
      <c r="F19" s="2">
        <v>119</v>
      </c>
      <c r="G19" s="2">
        <v>106</v>
      </c>
      <c r="H19" s="2">
        <v>103</v>
      </c>
      <c r="I19" s="2">
        <f t="shared" si="15"/>
        <v>106.09</v>
      </c>
      <c r="J19" s="2">
        <f t="shared" si="15"/>
        <v>109.2727</v>
      </c>
      <c r="N19" s="2">
        <v>514</v>
      </c>
      <c r="O19" s="2">
        <v>432</v>
      </c>
      <c r="P19" s="2">
        <v>429</v>
      </c>
      <c r="Q19" s="2">
        <f t="shared" si="20"/>
        <v>424.36270000000002</v>
      </c>
      <c r="R19" s="2">
        <f t="shared" ref="R19:Z19" si="22">Q19*1.03</f>
        <v>437.09358100000003</v>
      </c>
      <c r="S19" s="2">
        <f t="shared" si="22"/>
        <v>450.20638843000006</v>
      </c>
      <c r="T19" s="2">
        <f t="shared" si="22"/>
        <v>463.71258008290005</v>
      </c>
      <c r="U19" s="2">
        <f t="shared" si="22"/>
        <v>477.62395748538705</v>
      </c>
      <c r="V19" s="2">
        <f t="shared" si="22"/>
        <v>491.95267620994866</v>
      </c>
      <c r="W19" s="2">
        <f t="shared" si="22"/>
        <v>506.71125649624713</v>
      </c>
      <c r="X19" s="2">
        <f t="shared" si="22"/>
        <v>521.91259419113453</v>
      </c>
      <c r="Y19" s="2">
        <f t="shared" si="22"/>
        <v>537.56997201686863</v>
      </c>
      <c r="Z19" s="2">
        <f t="shared" si="22"/>
        <v>553.69707117737471</v>
      </c>
    </row>
    <row r="20" spans="1:26" x14ac:dyDescent="0.2">
      <c r="B20" s="2" t="s">
        <v>74</v>
      </c>
      <c r="C20" s="2">
        <v>69</v>
      </c>
      <c r="D20" s="2">
        <v>49</v>
      </c>
      <c r="E20" s="2">
        <v>62</v>
      </c>
      <c r="F20" s="2">
        <v>78</v>
      </c>
      <c r="G20" s="2">
        <v>60</v>
      </c>
      <c r="H20" s="2">
        <v>36</v>
      </c>
      <c r="I20" s="2">
        <f>H20*1.1</f>
        <v>39.6</v>
      </c>
      <c r="J20" s="2">
        <f>I20*1.1</f>
        <v>43.56</v>
      </c>
      <c r="N20" s="2">
        <v>346</v>
      </c>
      <c r="O20" s="2">
        <v>272</v>
      </c>
      <c r="P20" s="2">
        <v>248</v>
      </c>
      <c r="Q20" s="2">
        <f t="shared" si="20"/>
        <v>179.16</v>
      </c>
      <c r="R20" s="2">
        <f t="shared" ref="R20:Z20" si="23">Q20*1.03</f>
        <v>184.53479999999999</v>
      </c>
      <c r="S20" s="2">
        <f t="shared" si="23"/>
        <v>190.07084399999999</v>
      </c>
      <c r="T20" s="2">
        <f t="shared" si="23"/>
        <v>195.77296931999999</v>
      </c>
      <c r="U20" s="2">
        <f t="shared" si="23"/>
        <v>201.64615839959998</v>
      </c>
      <c r="V20" s="2">
        <f t="shared" si="23"/>
        <v>207.695543151588</v>
      </c>
      <c r="W20" s="2">
        <f t="shared" si="23"/>
        <v>213.92640944613564</v>
      </c>
      <c r="X20" s="2">
        <f t="shared" si="23"/>
        <v>220.34420172951971</v>
      </c>
      <c r="Y20" s="2">
        <f t="shared" si="23"/>
        <v>226.95452778140532</v>
      </c>
      <c r="Z20" s="2">
        <f t="shared" si="23"/>
        <v>233.76316361484749</v>
      </c>
    </row>
    <row r="21" spans="1:26" x14ac:dyDescent="0.2">
      <c r="B21" s="2" t="s">
        <v>75</v>
      </c>
      <c r="C21" s="2">
        <v>349</v>
      </c>
      <c r="D21" s="2">
        <v>369</v>
      </c>
      <c r="E21" s="2">
        <v>302</v>
      </c>
      <c r="F21" s="2">
        <v>291</v>
      </c>
      <c r="G21" s="2">
        <v>306</v>
      </c>
      <c r="H21" s="2">
        <v>375</v>
      </c>
      <c r="I21" s="2">
        <f t="shared" ref="I21:J23" si="24">H21*1.03</f>
        <v>386.25</v>
      </c>
      <c r="J21" s="2">
        <f t="shared" si="24"/>
        <v>397.83750000000003</v>
      </c>
      <c r="N21" s="2">
        <v>1541</v>
      </c>
      <c r="O21" s="2">
        <v>1430</v>
      </c>
      <c r="P21" s="2">
        <v>1311</v>
      </c>
      <c r="Q21" s="2">
        <f t="shared" si="20"/>
        <v>1465.0875000000001</v>
      </c>
      <c r="R21" s="2">
        <f t="shared" ref="R21:Z21" si="25">Q21*1.03</f>
        <v>1509.0401250000002</v>
      </c>
      <c r="S21" s="2">
        <f t="shared" si="25"/>
        <v>1554.3113287500003</v>
      </c>
      <c r="T21" s="2">
        <f t="shared" si="25"/>
        <v>1600.9406686125003</v>
      </c>
      <c r="U21" s="2">
        <f t="shared" si="25"/>
        <v>1648.9688886708755</v>
      </c>
      <c r="V21" s="2">
        <f t="shared" si="25"/>
        <v>1698.4379553310018</v>
      </c>
      <c r="W21" s="2">
        <f t="shared" si="25"/>
        <v>1749.3910939909319</v>
      </c>
      <c r="X21" s="2">
        <f t="shared" si="25"/>
        <v>1801.8728268106599</v>
      </c>
      <c r="Y21" s="2">
        <f t="shared" si="25"/>
        <v>1855.9290116149798</v>
      </c>
      <c r="Z21" s="2">
        <f t="shared" si="25"/>
        <v>1911.6068819634293</v>
      </c>
    </row>
    <row r="22" spans="1:26" x14ac:dyDescent="0.2">
      <c r="B22" s="2" t="s">
        <v>76</v>
      </c>
      <c r="C22" s="2">
        <v>285</v>
      </c>
      <c r="D22" s="2">
        <v>372</v>
      </c>
      <c r="E22" s="2">
        <v>338</v>
      </c>
      <c r="F22" s="2">
        <v>388</v>
      </c>
      <c r="G22" s="2">
        <v>355</v>
      </c>
      <c r="H22" s="2">
        <v>404</v>
      </c>
      <c r="I22" s="2">
        <f t="shared" si="24"/>
        <v>416.12</v>
      </c>
      <c r="J22" s="2">
        <f t="shared" si="24"/>
        <v>428.60360000000003</v>
      </c>
      <c r="N22" s="2">
        <v>1278</v>
      </c>
      <c r="O22" s="2">
        <v>1268</v>
      </c>
      <c r="P22" s="2">
        <v>1383</v>
      </c>
      <c r="Q22" s="2">
        <f t="shared" si="20"/>
        <v>1603.7235999999998</v>
      </c>
      <c r="R22" s="2">
        <f t="shared" ref="R22:Z22" si="26">Q22*1.03</f>
        <v>1651.8353079999999</v>
      </c>
      <c r="S22" s="2">
        <f t="shared" si="26"/>
        <v>1701.3903672399999</v>
      </c>
      <c r="T22" s="2">
        <f t="shared" si="26"/>
        <v>1752.4320782571999</v>
      </c>
      <c r="U22" s="2">
        <f t="shared" si="26"/>
        <v>1805.0050406049161</v>
      </c>
      <c r="V22" s="2">
        <f t="shared" si="26"/>
        <v>1859.1551918230637</v>
      </c>
      <c r="W22" s="2">
        <f t="shared" si="26"/>
        <v>1914.9298475777557</v>
      </c>
      <c r="X22" s="2">
        <f t="shared" si="26"/>
        <v>1972.3777430050884</v>
      </c>
      <c r="Y22" s="2">
        <f t="shared" si="26"/>
        <v>2031.5490752952412</v>
      </c>
      <c r="Z22" s="2">
        <f t="shared" si="26"/>
        <v>2092.4955475540987</v>
      </c>
    </row>
    <row r="23" spans="1:26" x14ac:dyDescent="0.2">
      <c r="B23" s="2" t="s">
        <v>77</v>
      </c>
      <c r="C23" s="2">
        <v>266</v>
      </c>
      <c r="D23" s="2">
        <v>221</v>
      </c>
      <c r="E23" s="2">
        <v>234</v>
      </c>
      <c r="F23" s="2">
        <v>233</v>
      </c>
      <c r="G23" s="2">
        <v>148</v>
      </c>
      <c r="H23" s="2">
        <v>258</v>
      </c>
      <c r="I23" s="2">
        <f t="shared" si="24"/>
        <v>265.74</v>
      </c>
      <c r="J23" s="2">
        <f t="shared" si="24"/>
        <v>273.7122</v>
      </c>
      <c r="N23" s="2">
        <v>1035</v>
      </c>
      <c r="O23" s="2">
        <v>1108</v>
      </c>
      <c r="P23" s="2">
        <v>954</v>
      </c>
      <c r="Q23" s="2">
        <f t="shared" si="20"/>
        <v>945.45219999999995</v>
      </c>
      <c r="R23" s="2">
        <f t="shared" ref="R23:Z23" si="27">Q23*1.03</f>
        <v>973.81576599999994</v>
      </c>
      <c r="S23" s="2">
        <f t="shared" si="27"/>
        <v>1003.0302389799999</v>
      </c>
      <c r="T23" s="2">
        <f t="shared" si="27"/>
        <v>1033.1211461493999</v>
      </c>
      <c r="U23" s="2">
        <f t="shared" si="27"/>
        <v>1064.1147805338819</v>
      </c>
      <c r="V23" s="2">
        <f t="shared" si="27"/>
        <v>1096.0382239498983</v>
      </c>
      <c r="W23" s="2">
        <f t="shared" si="27"/>
        <v>1128.9193706683952</v>
      </c>
      <c r="X23" s="2">
        <f t="shared" si="27"/>
        <v>1162.7869517884471</v>
      </c>
      <c r="Y23" s="2">
        <f t="shared" si="27"/>
        <v>1197.6705603421005</v>
      </c>
      <c r="Z23" s="2">
        <f t="shared" si="27"/>
        <v>1233.6006771523637</v>
      </c>
    </row>
    <row r="24" spans="1:26" x14ac:dyDescent="0.2">
      <c r="B24" s="2" t="s">
        <v>21</v>
      </c>
      <c r="C24" s="2">
        <f>319+57+200+74+734</f>
        <v>1384</v>
      </c>
      <c r="D24" s="2">
        <f>80+318+225+32+810</f>
        <v>1465</v>
      </c>
      <c r="E24" s="2">
        <f>310+21+207+84+726</f>
        <v>1348</v>
      </c>
      <c r="F24" s="2">
        <f>100+332+114+215+752</f>
        <v>1513</v>
      </c>
      <c r="G24" s="2">
        <f>59+315+217+747</f>
        <v>1338</v>
      </c>
      <c r="H24" s="2">
        <f>55+2+327+250+603</f>
        <v>1237</v>
      </c>
      <c r="I24" s="2">
        <f>H24*1.05</f>
        <v>1298.8500000000001</v>
      </c>
      <c r="J24" s="2">
        <f>I24*1.05</f>
        <v>1363.7925000000002</v>
      </c>
      <c r="N24" s="2">
        <f>1290+475+747+4137+666</f>
        <v>7315</v>
      </c>
      <c r="O24" s="2">
        <f>1234+276+803+3035+436</f>
        <v>5784</v>
      </c>
      <c r="P24" s="2">
        <f>1279+338+847+3032+224</f>
        <v>5720</v>
      </c>
      <c r="Q24" s="2">
        <f t="shared" si="20"/>
        <v>5237.6425000000008</v>
      </c>
      <c r="R24" s="2">
        <f t="shared" ref="R24:Z24" si="28">Q24*1.03</f>
        <v>5394.7717750000011</v>
      </c>
      <c r="S24" s="2">
        <f t="shared" si="28"/>
        <v>5556.614928250001</v>
      </c>
      <c r="T24" s="2">
        <f t="shared" si="28"/>
        <v>5723.3133760975015</v>
      </c>
      <c r="U24" s="2">
        <f t="shared" si="28"/>
        <v>5895.012777380427</v>
      </c>
      <c r="V24" s="2">
        <f t="shared" si="28"/>
        <v>6071.8631607018397</v>
      </c>
      <c r="W24" s="2">
        <f t="shared" si="28"/>
        <v>6254.0190555228946</v>
      </c>
      <c r="X24" s="2">
        <f t="shared" si="28"/>
        <v>6441.6396271885815</v>
      </c>
      <c r="Y24" s="2">
        <f t="shared" si="28"/>
        <v>6634.8888160042388</v>
      </c>
      <c r="Z24" s="2">
        <f t="shared" si="28"/>
        <v>6833.9354804843661</v>
      </c>
    </row>
    <row r="25" spans="1:26" s="7" customFormat="1" x14ac:dyDescent="0.2">
      <c r="A25" s="2"/>
      <c r="B25" s="7" t="s">
        <v>14</v>
      </c>
      <c r="C25" s="7">
        <f t="shared" ref="C25:J25" si="29">SUM(C3:C24)</f>
        <v>12310</v>
      </c>
      <c r="D25" s="7">
        <f t="shared" si="29"/>
        <v>14462</v>
      </c>
      <c r="E25" s="7">
        <f t="shared" si="29"/>
        <v>14460</v>
      </c>
      <c r="F25" s="7">
        <f t="shared" si="29"/>
        <v>15102</v>
      </c>
      <c r="G25" s="7">
        <f t="shared" si="29"/>
        <v>13343</v>
      </c>
      <c r="H25" s="7">
        <f t="shared" si="29"/>
        <v>15423</v>
      </c>
      <c r="I25" s="7">
        <f t="shared" si="29"/>
        <v>15849.830000000002</v>
      </c>
      <c r="J25" s="7">
        <f t="shared" si="29"/>
        <v>16500.7209</v>
      </c>
      <c r="N25" s="7">
        <f t="shared" ref="N25:V25" si="30">SUM(N3:N24)</f>
        <v>58054</v>
      </c>
      <c r="O25" s="7">
        <f t="shared" si="30"/>
        <v>54318</v>
      </c>
      <c r="P25" s="7">
        <f t="shared" si="30"/>
        <v>56334</v>
      </c>
      <c r="Q25" s="7">
        <f t="shared" si="30"/>
        <v>61116.550900000002</v>
      </c>
      <c r="R25" s="7">
        <f t="shared" si="30"/>
        <v>58052.167791000022</v>
      </c>
      <c r="S25" s="7">
        <f t="shared" si="30"/>
        <v>62139.66990157</v>
      </c>
      <c r="T25" s="7">
        <f t="shared" si="30"/>
        <v>65742.950033678309</v>
      </c>
      <c r="U25" s="7">
        <f t="shared" si="30"/>
        <v>69581.59493934644</v>
      </c>
      <c r="V25" s="7">
        <f t="shared" si="30"/>
        <v>73302.752267115458</v>
      </c>
      <c r="W25" s="7">
        <f t="shared" ref="W25:Z25" si="31">SUM(W3:W24)</f>
        <v>77254.931601643475</v>
      </c>
      <c r="X25" s="7">
        <f t="shared" si="31"/>
        <v>81453.865045856277</v>
      </c>
      <c r="Y25" s="7">
        <f t="shared" si="31"/>
        <v>85916.410419507709</v>
      </c>
      <c r="Z25" s="7">
        <f t="shared" si="31"/>
        <v>90660.633910973018</v>
      </c>
    </row>
    <row r="26" spans="1:26" x14ac:dyDescent="0.2">
      <c r="B26" s="2" t="s">
        <v>15</v>
      </c>
      <c r="C26" s="2">
        <v>4094</v>
      </c>
      <c r="D26" s="2">
        <v>4202</v>
      </c>
      <c r="G26" s="2">
        <v>4002</v>
      </c>
      <c r="H26" s="2">
        <v>4346</v>
      </c>
      <c r="I26" s="2">
        <f t="shared" ref="I26:J26" si="32">I25*(1-I41)</f>
        <v>4754.9490000000014</v>
      </c>
      <c r="J26" s="2">
        <f t="shared" si="32"/>
        <v>4950.2162700000008</v>
      </c>
      <c r="N26" s="2">
        <v>17414</v>
      </c>
      <c r="O26" s="2">
        <v>20415</v>
      </c>
      <c r="P26" s="2">
        <v>16904</v>
      </c>
      <c r="Q26" s="2">
        <f t="shared" si="20"/>
        <v>18053.165270000001</v>
      </c>
      <c r="R26" s="2">
        <f t="shared" ref="R26:Z26" si="33">R25*(1-R41)</f>
        <v>17415.650337300009</v>
      </c>
      <c r="S26" s="2">
        <f t="shared" si="33"/>
        <v>18641.900970471004</v>
      </c>
      <c r="T26" s="2">
        <f t="shared" si="33"/>
        <v>19722.885010103495</v>
      </c>
      <c r="U26" s="2">
        <f t="shared" si="33"/>
        <v>20874.478481803933</v>
      </c>
      <c r="V26" s="2">
        <f t="shared" si="33"/>
        <v>21990.82568013464</v>
      </c>
      <c r="W26" s="2">
        <f t="shared" si="33"/>
        <v>23176.479480493046</v>
      </c>
      <c r="X26" s="2">
        <f t="shared" si="33"/>
        <v>24436.159513756887</v>
      </c>
      <c r="Y26" s="2">
        <f t="shared" si="33"/>
        <v>25774.923125852318</v>
      </c>
      <c r="Z26" s="2">
        <f t="shared" si="33"/>
        <v>27198.19017329191</v>
      </c>
    </row>
    <row r="27" spans="1:26" x14ac:dyDescent="0.2">
      <c r="B27" s="2" t="s">
        <v>17</v>
      </c>
      <c r="C27" s="2">
        <f>C25-C26</f>
        <v>8216</v>
      </c>
      <c r="D27" s="2">
        <f t="shared" ref="D27:J27" si="34">D25-D26</f>
        <v>10260</v>
      </c>
      <c r="E27" s="2">
        <f t="shared" si="34"/>
        <v>14460</v>
      </c>
      <c r="F27" s="2">
        <f t="shared" si="34"/>
        <v>15102</v>
      </c>
      <c r="G27" s="2">
        <f t="shared" si="34"/>
        <v>9341</v>
      </c>
      <c r="H27" s="2">
        <f t="shared" si="34"/>
        <v>11077</v>
      </c>
      <c r="I27" s="2">
        <f t="shared" si="34"/>
        <v>11094.881000000001</v>
      </c>
      <c r="J27" s="2">
        <f t="shared" si="34"/>
        <v>11550.504629999999</v>
      </c>
      <c r="N27" s="2">
        <f>N25-N26</f>
        <v>40640</v>
      </c>
      <c r="O27" s="2">
        <f t="shared" ref="O27:Z27" si="35">O25-O26</f>
        <v>33903</v>
      </c>
      <c r="P27" s="2">
        <f t="shared" si="35"/>
        <v>39430</v>
      </c>
      <c r="Q27" s="2">
        <f t="shared" si="35"/>
        <v>43063.385630000004</v>
      </c>
      <c r="R27" s="2">
        <f t="shared" si="35"/>
        <v>40636.517453700013</v>
      </c>
      <c r="S27" s="2">
        <f t="shared" si="35"/>
        <v>43497.768931098995</v>
      </c>
      <c r="T27" s="2">
        <f t="shared" si="35"/>
        <v>46020.065023574818</v>
      </c>
      <c r="U27" s="2">
        <f t="shared" si="35"/>
        <v>48707.116457542506</v>
      </c>
      <c r="V27" s="2">
        <f t="shared" si="35"/>
        <v>51311.926586980815</v>
      </c>
      <c r="W27" s="2">
        <f t="shared" si="35"/>
        <v>54078.452121150433</v>
      </c>
      <c r="X27" s="2">
        <f t="shared" si="35"/>
        <v>57017.70553209939</v>
      </c>
      <c r="Y27" s="2">
        <f t="shared" si="35"/>
        <v>60141.487293655387</v>
      </c>
      <c r="Z27" s="2">
        <f t="shared" si="35"/>
        <v>63462.443737681111</v>
      </c>
    </row>
    <row r="28" spans="1:26" x14ac:dyDescent="0.2">
      <c r="B28" s="2" t="s">
        <v>16</v>
      </c>
      <c r="C28" s="2">
        <v>3315</v>
      </c>
      <c r="D28" s="2">
        <v>3377</v>
      </c>
      <c r="G28" s="2">
        <v>3293</v>
      </c>
      <c r="H28" s="2">
        <v>3253</v>
      </c>
      <c r="I28" s="2">
        <f>H28*1.03</f>
        <v>3350.59</v>
      </c>
      <c r="J28" s="2">
        <f>I28*1.03</f>
        <v>3451.1077</v>
      </c>
      <c r="N28" s="2">
        <v>15260</v>
      </c>
      <c r="O28" s="2">
        <v>12872</v>
      </c>
      <c r="P28" s="2">
        <v>14752</v>
      </c>
      <c r="Q28" s="2">
        <f>SUM(G28:J28)</f>
        <v>13347.697700000001</v>
      </c>
      <c r="R28" s="2">
        <f t="shared" ref="R28:Z28" si="36">Q28*1.02</f>
        <v>13614.651654000001</v>
      </c>
      <c r="S28" s="2">
        <f t="shared" si="36"/>
        <v>13886.944687080002</v>
      </c>
      <c r="T28" s="2">
        <f t="shared" si="36"/>
        <v>14164.683580821602</v>
      </c>
      <c r="U28" s="2">
        <f t="shared" si="36"/>
        <v>14447.977252438035</v>
      </c>
      <c r="V28" s="2">
        <f t="shared" si="36"/>
        <v>14736.936797486796</v>
      </c>
      <c r="W28" s="2">
        <f t="shared" si="36"/>
        <v>15031.675533436533</v>
      </c>
      <c r="X28" s="2">
        <f t="shared" si="36"/>
        <v>15332.309044105265</v>
      </c>
      <c r="Y28" s="2">
        <f t="shared" si="36"/>
        <v>15638.95522498737</v>
      </c>
      <c r="Z28" s="2">
        <f t="shared" si="36"/>
        <v>15951.734329487119</v>
      </c>
    </row>
    <row r="29" spans="1:26" x14ac:dyDescent="0.2">
      <c r="B29" s="2" t="s">
        <v>61</v>
      </c>
      <c r="C29" s="2">
        <v>1939</v>
      </c>
      <c r="D29" s="2">
        <v>1948</v>
      </c>
      <c r="G29" s="2">
        <v>2067</v>
      </c>
      <c r="H29" s="2">
        <v>1948</v>
      </c>
      <c r="N29" s="2">
        <v>6510</v>
      </c>
      <c r="O29" s="2">
        <v>7675</v>
      </c>
      <c r="P29" s="2">
        <v>12791</v>
      </c>
      <c r="Q29" s="2">
        <f>SUM(G29:J29)</f>
        <v>4015</v>
      </c>
    </row>
    <row r="30" spans="1:26" x14ac:dyDescent="0.2">
      <c r="B30" s="2" t="s">
        <v>18</v>
      </c>
      <c r="C30" s="2">
        <f>SUM(C28:C29)</f>
        <v>5254</v>
      </c>
      <c r="D30" s="2">
        <f t="shared" ref="D30:J30" si="37">SUM(D28:D29)</f>
        <v>5325</v>
      </c>
      <c r="E30" s="2">
        <f t="shared" si="37"/>
        <v>0</v>
      </c>
      <c r="F30" s="2">
        <f t="shared" si="37"/>
        <v>0</v>
      </c>
      <c r="G30" s="2">
        <f t="shared" si="37"/>
        <v>5360</v>
      </c>
      <c r="H30" s="2">
        <f t="shared" si="37"/>
        <v>5201</v>
      </c>
      <c r="I30" s="2">
        <f t="shared" si="37"/>
        <v>3350.59</v>
      </c>
      <c r="J30" s="2">
        <f t="shared" si="37"/>
        <v>3451.1077</v>
      </c>
      <c r="N30" s="2">
        <f>N28+N29</f>
        <v>21770</v>
      </c>
      <c r="O30" s="2">
        <f t="shared" ref="O30:Z30" si="38">O28+O29</f>
        <v>20547</v>
      </c>
      <c r="P30" s="2">
        <f t="shared" si="38"/>
        <v>27543</v>
      </c>
      <c r="Q30" s="2">
        <f t="shared" si="38"/>
        <v>17362.697700000001</v>
      </c>
      <c r="R30" s="2">
        <f t="shared" si="38"/>
        <v>13614.651654000001</v>
      </c>
      <c r="S30" s="2">
        <f t="shared" si="38"/>
        <v>13886.944687080002</v>
      </c>
      <c r="T30" s="2">
        <f t="shared" si="38"/>
        <v>14164.683580821602</v>
      </c>
      <c r="U30" s="2">
        <f t="shared" si="38"/>
        <v>14447.977252438035</v>
      </c>
      <c r="V30" s="2">
        <f t="shared" si="38"/>
        <v>14736.936797486796</v>
      </c>
      <c r="W30" s="2">
        <f t="shared" si="38"/>
        <v>15031.675533436533</v>
      </c>
      <c r="X30" s="2">
        <f t="shared" si="38"/>
        <v>15332.309044105265</v>
      </c>
      <c r="Y30" s="2">
        <f t="shared" si="38"/>
        <v>15638.95522498737</v>
      </c>
      <c r="Z30" s="2">
        <f t="shared" si="38"/>
        <v>15951.734329487119</v>
      </c>
    </row>
    <row r="31" spans="1:26" x14ac:dyDescent="0.2">
      <c r="B31" s="2" t="s">
        <v>19</v>
      </c>
      <c r="C31" s="2">
        <f>C27-C30</f>
        <v>2962</v>
      </c>
      <c r="D31" s="2">
        <f t="shared" ref="D31:J31" si="39">D27-D30</f>
        <v>4935</v>
      </c>
      <c r="E31" s="2">
        <f t="shared" si="39"/>
        <v>14460</v>
      </c>
      <c r="F31" s="2">
        <f t="shared" si="39"/>
        <v>15102</v>
      </c>
      <c r="G31" s="2">
        <f t="shared" si="39"/>
        <v>3981</v>
      </c>
      <c r="H31" s="2">
        <f t="shared" si="39"/>
        <v>5876</v>
      </c>
      <c r="I31" s="2">
        <f t="shared" si="39"/>
        <v>7744.2910000000011</v>
      </c>
      <c r="J31" s="2">
        <f t="shared" si="39"/>
        <v>8099.396929999999</v>
      </c>
      <c r="N31" s="2">
        <f>N27-N30</f>
        <v>18870</v>
      </c>
      <c r="O31" s="2">
        <f t="shared" ref="O31:Z31" si="40">O27-O30</f>
        <v>13356</v>
      </c>
      <c r="P31" s="2">
        <f t="shared" si="40"/>
        <v>11887</v>
      </c>
      <c r="Q31" s="2">
        <f t="shared" si="40"/>
        <v>25700.687930000004</v>
      </c>
      <c r="R31" s="2">
        <f t="shared" si="40"/>
        <v>27021.865799700012</v>
      </c>
      <c r="S31" s="2">
        <f t="shared" si="40"/>
        <v>29610.824244018993</v>
      </c>
      <c r="T31" s="2">
        <f t="shared" si="40"/>
        <v>31855.381442753216</v>
      </c>
      <c r="U31" s="2">
        <f t="shared" si="40"/>
        <v>34259.139205104468</v>
      </c>
      <c r="V31" s="2">
        <f t="shared" si="40"/>
        <v>36574.989789494022</v>
      </c>
      <c r="W31" s="2">
        <f t="shared" si="40"/>
        <v>39046.776587713903</v>
      </c>
      <c r="X31" s="2">
        <f t="shared" si="40"/>
        <v>41685.396487994127</v>
      </c>
      <c r="Y31" s="2">
        <f t="shared" si="40"/>
        <v>44502.532068668021</v>
      </c>
      <c r="Z31" s="2">
        <f t="shared" si="40"/>
        <v>47510.709408193994</v>
      </c>
    </row>
    <row r="32" spans="1:26" x14ac:dyDescent="0.2">
      <c r="B32" s="2" t="s">
        <v>20</v>
      </c>
      <c r="C32" s="2">
        <v>-453</v>
      </c>
      <c r="D32" s="2">
        <v>-506</v>
      </c>
      <c r="G32" s="2">
        <v>-627</v>
      </c>
      <c r="H32" s="2">
        <v>-678</v>
      </c>
      <c r="I32" s="2">
        <f>H46*$AC$38/2</f>
        <v>-653.49</v>
      </c>
      <c r="J32" s="2">
        <f>I46*$AC$38/2</f>
        <v>-596.05451189999997</v>
      </c>
      <c r="N32" s="2">
        <v>-2044</v>
      </c>
      <c r="O32" s="2">
        <v>-1684</v>
      </c>
      <c r="P32" s="2">
        <v>-2160</v>
      </c>
      <c r="Q32" s="2">
        <f>SUM(G32:J32)</f>
        <v>-2554.5445119000001</v>
      </c>
      <c r="R32" s="2">
        <f t="shared" ref="R32:Z32" si="41">Q46*$AC$38</f>
        <v>-1070.55487662678</v>
      </c>
      <c r="S32" s="2">
        <f t="shared" si="41"/>
        <v>-650.14363967299369</v>
      </c>
      <c r="T32" s="2">
        <f t="shared" si="41"/>
        <v>-180.98061388258853</v>
      </c>
      <c r="U32" s="2">
        <f t="shared" si="41"/>
        <v>332.14467954511565</v>
      </c>
      <c r="V32" s="2">
        <f t="shared" si="41"/>
        <v>892.52347847643887</v>
      </c>
      <c r="W32" s="2">
        <f t="shared" si="41"/>
        <v>1499.4971934175605</v>
      </c>
      <c r="X32" s="2">
        <f t="shared" si="41"/>
        <v>2156.3468286718903</v>
      </c>
      <c r="Y32" s="2">
        <f t="shared" si="41"/>
        <v>2866.5830704018799</v>
      </c>
      <c r="Z32" s="2">
        <f t="shared" si="41"/>
        <v>3633.9627356548126</v>
      </c>
    </row>
    <row r="33" spans="1:136" x14ac:dyDescent="0.2">
      <c r="B33" s="2" t="s">
        <v>21</v>
      </c>
      <c r="C33" s="2">
        <v>-586</v>
      </c>
      <c r="D33" s="2">
        <v>-1345</v>
      </c>
      <c r="G33" s="2">
        <v>-1441</v>
      </c>
      <c r="H33" s="2">
        <v>-2639</v>
      </c>
      <c r="N33" s="2">
        <v>-2448</v>
      </c>
      <c r="O33" s="2">
        <v>-4677</v>
      </c>
      <c r="P33" s="2">
        <v>-3240</v>
      </c>
      <c r="Q33" s="2">
        <f>SUM(G33:J33)</f>
        <v>-4080</v>
      </c>
    </row>
    <row r="34" spans="1:136" x14ac:dyDescent="0.2">
      <c r="B34" s="2" t="s">
        <v>22</v>
      </c>
      <c r="C34" s="2">
        <f>C31+C33+C32</f>
        <v>1923</v>
      </c>
      <c r="D34" s="2">
        <f t="shared" ref="D34:J34" si="42">D31+D33+D32</f>
        <v>3084</v>
      </c>
      <c r="E34" s="2">
        <f t="shared" si="42"/>
        <v>14460</v>
      </c>
      <c r="F34" s="2">
        <f t="shared" si="42"/>
        <v>15102</v>
      </c>
      <c r="G34" s="2">
        <f t="shared" si="42"/>
        <v>1913</v>
      </c>
      <c r="H34" s="2">
        <f t="shared" si="42"/>
        <v>2559</v>
      </c>
      <c r="I34" s="2">
        <f t="shared" si="42"/>
        <v>7090.8010000000013</v>
      </c>
      <c r="J34" s="2">
        <f t="shared" si="42"/>
        <v>7503.3424180999991</v>
      </c>
      <c r="N34" s="2">
        <f>N31+N32+N33</f>
        <v>14378</v>
      </c>
      <c r="O34" s="2">
        <f t="shared" ref="O34:Z34" si="43">O31+O32+O33</f>
        <v>6995</v>
      </c>
      <c r="P34" s="2">
        <f t="shared" si="43"/>
        <v>6487</v>
      </c>
      <c r="Q34" s="2">
        <f t="shared" si="43"/>
        <v>19066.143418100004</v>
      </c>
      <c r="R34" s="2">
        <f t="shared" si="43"/>
        <v>25951.310923073233</v>
      </c>
      <c r="S34" s="2">
        <f t="shared" si="43"/>
        <v>28960.680604345998</v>
      </c>
      <c r="T34" s="2">
        <f t="shared" si="43"/>
        <v>31674.400828870628</v>
      </c>
      <c r="U34" s="2">
        <f t="shared" si="43"/>
        <v>34591.283884649587</v>
      </c>
      <c r="V34" s="2">
        <f t="shared" si="43"/>
        <v>37467.513267970462</v>
      </c>
      <c r="W34" s="2">
        <f t="shared" si="43"/>
        <v>40546.273781131466</v>
      </c>
      <c r="X34" s="2">
        <f t="shared" si="43"/>
        <v>43841.743316666019</v>
      </c>
      <c r="Y34" s="2">
        <f t="shared" si="43"/>
        <v>47369.115139069901</v>
      </c>
      <c r="Z34" s="2">
        <f t="shared" si="43"/>
        <v>51144.672143848809</v>
      </c>
    </row>
    <row r="35" spans="1:136" x14ac:dyDescent="0.2">
      <c r="B35" s="2" t="s">
        <v>23</v>
      </c>
      <c r="C35" s="2">
        <v>383</v>
      </c>
      <c r="D35" s="2">
        <v>773</v>
      </c>
      <c r="G35" s="2">
        <v>372</v>
      </c>
      <c r="H35" s="2">
        <v>613</v>
      </c>
      <c r="I35" s="2">
        <f>I34*0.19</f>
        <v>1347.2521900000002</v>
      </c>
      <c r="J35" s="2">
        <f>J34*0.19</f>
        <v>1425.6350594389999</v>
      </c>
      <c r="L35" s="10"/>
      <c r="M35" s="10"/>
      <c r="N35" s="2">
        <v>1632</v>
      </c>
      <c r="O35" s="2">
        <v>1377</v>
      </c>
      <c r="P35" s="2">
        <v>-570</v>
      </c>
      <c r="Q35" s="2">
        <f>SUM(G35:J35)</f>
        <v>3757.8872494389998</v>
      </c>
      <c r="R35" s="2">
        <f>R34*0.19</f>
        <v>4930.7490753839147</v>
      </c>
      <c r="S35" s="2">
        <f t="shared" ref="S35:Z35" si="44">S34*0.19</f>
        <v>5502.5293148257397</v>
      </c>
      <c r="T35" s="2">
        <f t="shared" si="44"/>
        <v>6018.1361574854191</v>
      </c>
      <c r="U35" s="2">
        <f t="shared" si="44"/>
        <v>6572.3439380834216</v>
      </c>
      <c r="V35" s="2">
        <f t="shared" si="44"/>
        <v>7118.8275209143876</v>
      </c>
      <c r="W35" s="2">
        <f t="shared" si="44"/>
        <v>7703.7920184149789</v>
      </c>
      <c r="X35" s="2">
        <f t="shared" si="44"/>
        <v>8329.9312301665432</v>
      </c>
      <c r="Y35" s="2">
        <f t="shared" si="44"/>
        <v>9000.1318764232819</v>
      </c>
      <c r="Z35" s="2">
        <f t="shared" si="44"/>
        <v>9717.4877073312746</v>
      </c>
    </row>
    <row r="36" spans="1:136" x14ac:dyDescent="0.2">
      <c r="B36" s="2" t="s">
        <v>24</v>
      </c>
      <c r="C36" s="2">
        <f>C34-C35</f>
        <v>1540</v>
      </c>
      <c r="D36" s="2">
        <f t="shared" ref="D36:J36" si="45">D34-D35</f>
        <v>2311</v>
      </c>
      <c r="E36" s="2">
        <f t="shared" si="45"/>
        <v>14460</v>
      </c>
      <c r="F36" s="2">
        <f t="shared" si="45"/>
        <v>15102</v>
      </c>
      <c r="G36" s="2">
        <f t="shared" si="45"/>
        <v>1541</v>
      </c>
      <c r="H36" s="2">
        <f t="shared" si="45"/>
        <v>1946</v>
      </c>
      <c r="I36" s="2">
        <f t="shared" si="45"/>
        <v>5743.5488100000011</v>
      </c>
      <c r="J36" s="2">
        <f t="shared" si="45"/>
        <v>6077.7073586609995</v>
      </c>
      <c r="N36" s="2">
        <f>N34-N35</f>
        <v>12746</v>
      </c>
      <c r="O36" s="2">
        <f t="shared" ref="O36:Z36" si="46">O34-O35</f>
        <v>5618</v>
      </c>
      <c r="P36" s="2">
        <f t="shared" si="46"/>
        <v>7057</v>
      </c>
      <c r="Q36" s="2">
        <f t="shared" si="46"/>
        <v>15308.256168661004</v>
      </c>
      <c r="R36" s="2">
        <f t="shared" si="46"/>
        <v>21020.561847689318</v>
      </c>
      <c r="S36" s="2">
        <f t="shared" si="46"/>
        <v>23458.151289520258</v>
      </c>
      <c r="T36" s="2">
        <f t="shared" si="46"/>
        <v>25656.264671385208</v>
      </c>
      <c r="U36" s="2">
        <f t="shared" si="46"/>
        <v>28018.939946566166</v>
      </c>
      <c r="V36" s="2">
        <f t="shared" si="46"/>
        <v>30348.685747056075</v>
      </c>
      <c r="W36" s="2">
        <f t="shared" si="46"/>
        <v>32842.481762716488</v>
      </c>
      <c r="X36" s="2">
        <f t="shared" si="46"/>
        <v>35511.812086499478</v>
      </c>
      <c r="Y36" s="2">
        <f t="shared" si="46"/>
        <v>38368.983262646623</v>
      </c>
      <c r="Z36" s="2">
        <f t="shared" si="46"/>
        <v>41427.184436517535</v>
      </c>
      <c r="AA36" s="2">
        <f>Z36*(1+AC39)</f>
        <v>41012.912592152359</v>
      </c>
      <c r="AB36" s="2">
        <f t="shared" ref="AB36:CM36" si="47">AA36*(1+AD39)</f>
        <v>41012.912592152359</v>
      </c>
      <c r="AC36" s="2">
        <f t="shared" si="47"/>
        <v>41012.912592152359</v>
      </c>
      <c r="AD36" s="2">
        <f t="shared" si="47"/>
        <v>41012.912592152359</v>
      </c>
      <c r="AE36" s="2">
        <f t="shared" si="47"/>
        <v>41012.912592152359</v>
      </c>
      <c r="AF36" s="2">
        <f t="shared" si="47"/>
        <v>41012.912592152359</v>
      </c>
      <c r="AG36" s="2">
        <f t="shared" si="47"/>
        <v>41012.912592152359</v>
      </c>
      <c r="AH36" s="2">
        <f t="shared" si="47"/>
        <v>41012.912592152359</v>
      </c>
      <c r="AI36" s="2">
        <f t="shared" si="47"/>
        <v>41012.912592152359</v>
      </c>
      <c r="AJ36" s="2">
        <f t="shared" si="47"/>
        <v>41012.912592152359</v>
      </c>
      <c r="AK36" s="2">
        <f t="shared" si="47"/>
        <v>41012.912592152359</v>
      </c>
      <c r="AL36" s="2">
        <f t="shared" si="47"/>
        <v>41012.912592152359</v>
      </c>
      <c r="AM36" s="2">
        <f t="shared" si="47"/>
        <v>41012.912592152359</v>
      </c>
      <c r="AN36" s="2">
        <f t="shared" si="47"/>
        <v>41012.912592152359</v>
      </c>
      <c r="AO36" s="2">
        <f t="shared" si="47"/>
        <v>41012.912592152359</v>
      </c>
      <c r="AP36" s="2">
        <f t="shared" si="47"/>
        <v>41012.912592152359</v>
      </c>
      <c r="AQ36" s="2">
        <f t="shared" si="47"/>
        <v>41012.912592152359</v>
      </c>
      <c r="AR36" s="2">
        <f t="shared" si="47"/>
        <v>41012.912592152359</v>
      </c>
      <c r="AS36" s="2">
        <f t="shared" si="47"/>
        <v>41012.912592152359</v>
      </c>
      <c r="AT36" s="2">
        <f t="shared" si="47"/>
        <v>41012.912592152359</v>
      </c>
      <c r="AU36" s="2">
        <f t="shared" si="47"/>
        <v>41012.912592152359</v>
      </c>
      <c r="AV36" s="2">
        <f t="shared" si="47"/>
        <v>41012.912592152359</v>
      </c>
      <c r="AW36" s="2">
        <f t="shared" si="47"/>
        <v>41012.912592152359</v>
      </c>
      <c r="AX36" s="2">
        <f t="shared" si="47"/>
        <v>41012.912592152359</v>
      </c>
      <c r="AY36" s="2">
        <f t="shared" si="47"/>
        <v>41012.912592152359</v>
      </c>
      <c r="AZ36" s="2">
        <f t="shared" si="47"/>
        <v>41012.912592152359</v>
      </c>
      <c r="BA36" s="2">
        <f t="shared" si="47"/>
        <v>41012.912592152359</v>
      </c>
      <c r="BB36" s="2">
        <f t="shared" si="47"/>
        <v>41012.912592152359</v>
      </c>
      <c r="BC36" s="2">
        <f t="shared" si="47"/>
        <v>41012.912592152359</v>
      </c>
      <c r="BD36" s="2">
        <f t="shared" si="47"/>
        <v>41012.912592152359</v>
      </c>
      <c r="BE36" s="2">
        <f t="shared" si="47"/>
        <v>41012.912592152359</v>
      </c>
      <c r="BF36" s="2">
        <f t="shared" si="47"/>
        <v>41012.912592152359</v>
      </c>
      <c r="BG36" s="2">
        <f t="shared" si="47"/>
        <v>41012.912592152359</v>
      </c>
      <c r="BH36" s="2">
        <f t="shared" si="47"/>
        <v>41012.912592152359</v>
      </c>
      <c r="BI36" s="2">
        <f t="shared" si="47"/>
        <v>41012.912592152359</v>
      </c>
      <c r="BJ36" s="2">
        <f t="shared" si="47"/>
        <v>41012.912592152359</v>
      </c>
      <c r="BK36" s="2">
        <f t="shared" si="47"/>
        <v>41012.912592152359</v>
      </c>
      <c r="BL36" s="2">
        <f t="shared" si="47"/>
        <v>41012.912592152359</v>
      </c>
      <c r="BM36" s="2">
        <f t="shared" si="47"/>
        <v>41012.912592152359</v>
      </c>
      <c r="BN36" s="2">
        <f t="shared" si="47"/>
        <v>41012.912592152359</v>
      </c>
      <c r="BO36" s="2">
        <f t="shared" si="47"/>
        <v>41012.912592152359</v>
      </c>
      <c r="BP36" s="2">
        <f t="shared" si="47"/>
        <v>41012.912592152359</v>
      </c>
      <c r="BQ36" s="2">
        <f t="shared" si="47"/>
        <v>41012.912592152359</v>
      </c>
      <c r="BR36" s="2">
        <f t="shared" si="47"/>
        <v>41012.912592152359</v>
      </c>
      <c r="BS36" s="2">
        <f t="shared" si="47"/>
        <v>41012.912592152359</v>
      </c>
      <c r="BT36" s="2">
        <f t="shared" si="47"/>
        <v>41012.912592152359</v>
      </c>
      <c r="BU36" s="2">
        <f t="shared" si="47"/>
        <v>41012.912592152359</v>
      </c>
      <c r="BV36" s="2">
        <f t="shared" si="47"/>
        <v>41012.912592152359</v>
      </c>
      <c r="BW36" s="2">
        <f t="shared" si="47"/>
        <v>41012.912592152359</v>
      </c>
      <c r="BX36" s="2">
        <f t="shared" si="47"/>
        <v>41012.912592152359</v>
      </c>
      <c r="BY36" s="2">
        <f t="shared" si="47"/>
        <v>41012.912592152359</v>
      </c>
      <c r="BZ36" s="2">
        <f t="shared" si="47"/>
        <v>41012.912592152359</v>
      </c>
      <c r="CA36" s="2">
        <f t="shared" si="47"/>
        <v>41012.912592152359</v>
      </c>
      <c r="CB36" s="2">
        <f t="shared" si="47"/>
        <v>41012.912592152359</v>
      </c>
      <c r="CC36" s="2">
        <f t="shared" si="47"/>
        <v>41012.912592152359</v>
      </c>
      <c r="CD36" s="2">
        <f t="shared" si="47"/>
        <v>41012.912592152359</v>
      </c>
      <c r="CE36" s="2">
        <f t="shared" si="47"/>
        <v>41012.912592152359</v>
      </c>
      <c r="CF36" s="2">
        <f t="shared" si="47"/>
        <v>41012.912592152359</v>
      </c>
      <c r="CG36" s="2">
        <f t="shared" si="47"/>
        <v>41012.912592152359</v>
      </c>
      <c r="CH36" s="2">
        <f t="shared" si="47"/>
        <v>41012.912592152359</v>
      </c>
      <c r="CI36" s="2">
        <f t="shared" si="47"/>
        <v>41012.912592152359</v>
      </c>
      <c r="CJ36" s="2">
        <f t="shared" si="47"/>
        <v>41012.912592152359</v>
      </c>
      <c r="CK36" s="2">
        <f t="shared" si="47"/>
        <v>41012.912592152359</v>
      </c>
      <c r="CL36" s="2">
        <f t="shared" si="47"/>
        <v>41012.912592152359</v>
      </c>
      <c r="CM36" s="2">
        <f t="shared" si="47"/>
        <v>41012.912592152359</v>
      </c>
      <c r="CN36" s="2">
        <f t="shared" ref="CN36:EF36" si="48">CM36*(1+CP39)</f>
        <v>41012.912592152359</v>
      </c>
      <c r="CO36" s="2">
        <f t="shared" si="48"/>
        <v>41012.912592152359</v>
      </c>
      <c r="CP36" s="2">
        <f t="shared" si="48"/>
        <v>41012.912592152359</v>
      </c>
      <c r="CQ36" s="2">
        <f t="shared" si="48"/>
        <v>41012.912592152359</v>
      </c>
      <c r="CR36" s="2">
        <f t="shared" si="48"/>
        <v>41012.912592152359</v>
      </c>
      <c r="CS36" s="2">
        <f t="shared" si="48"/>
        <v>41012.912592152359</v>
      </c>
      <c r="CT36" s="2">
        <f t="shared" si="48"/>
        <v>41012.912592152359</v>
      </c>
      <c r="CU36" s="2">
        <f t="shared" si="48"/>
        <v>41012.912592152359</v>
      </c>
      <c r="CV36" s="2">
        <f t="shared" si="48"/>
        <v>41012.912592152359</v>
      </c>
      <c r="CW36" s="2">
        <f t="shared" si="48"/>
        <v>41012.912592152359</v>
      </c>
      <c r="CX36" s="2">
        <f t="shared" si="48"/>
        <v>41012.912592152359</v>
      </c>
      <c r="CY36" s="2">
        <f t="shared" si="48"/>
        <v>41012.912592152359</v>
      </c>
      <c r="CZ36" s="2">
        <f t="shared" si="48"/>
        <v>41012.912592152359</v>
      </c>
      <c r="DA36" s="2">
        <f t="shared" si="48"/>
        <v>41012.912592152359</v>
      </c>
      <c r="DB36" s="2">
        <f t="shared" si="48"/>
        <v>41012.912592152359</v>
      </c>
      <c r="DC36" s="2">
        <f t="shared" si="48"/>
        <v>41012.912592152359</v>
      </c>
      <c r="DD36" s="2">
        <f t="shared" si="48"/>
        <v>41012.912592152359</v>
      </c>
      <c r="DE36" s="2">
        <f t="shared" si="48"/>
        <v>41012.912592152359</v>
      </c>
      <c r="DF36" s="2">
        <f t="shared" si="48"/>
        <v>41012.912592152359</v>
      </c>
      <c r="DG36" s="2">
        <f t="shared" si="48"/>
        <v>41012.912592152359</v>
      </c>
      <c r="DH36" s="2">
        <f t="shared" si="48"/>
        <v>41012.912592152359</v>
      </c>
      <c r="DI36" s="2">
        <f t="shared" si="48"/>
        <v>41012.912592152359</v>
      </c>
      <c r="DJ36" s="2">
        <f t="shared" si="48"/>
        <v>41012.912592152359</v>
      </c>
      <c r="DK36" s="2">
        <f t="shared" si="48"/>
        <v>41012.912592152359</v>
      </c>
      <c r="DL36" s="2">
        <f t="shared" si="48"/>
        <v>41012.912592152359</v>
      </c>
      <c r="DM36" s="2">
        <f t="shared" si="48"/>
        <v>41012.912592152359</v>
      </c>
      <c r="DN36" s="2">
        <f t="shared" si="48"/>
        <v>41012.912592152359</v>
      </c>
      <c r="DO36" s="2">
        <f t="shared" si="48"/>
        <v>41012.912592152359</v>
      </c>
      <c r="DP36" s="2">
        <f t="shared" si="48"/>
        <v>41012.912592152359</v>
      </c>
      <c r="DQ36" s="2">
        <f t="shared" si="48"/>
        <v>41012.912592152359</v>
      </c>
      <c r="DR36" s="2">
        <f t="shared" si="48"/>
        <v>41012.912592152359</v>
      </c>
      <c r="DS36" s="2">
        <f t="shared" si="48"/>
        <v>41012.912592152359</v>
      </c>
      <c r="DT36" s="2">
        <f t="shared" si="48"/>
        <v>41012.912592152359</v>
      </c>
      <c r="DU36" s="2">
        <f t="shared" si="48"/>
        <v>41012.912592152359</v>
      </c>
      <c r="DV36" s="2">
        <f t="shared" si="48"/>
        <v>41012.912592152359</v>
      </c>
      <c r="DW36" s="2">
        <f t="shared" si="48"/>
        <v>41012.912592152359</v>
      </c>
      <c r="DX36" s="2">
        <f t="shared" si="48"/>
        <v>41012.912592152359</v>
      </c>
      <c r="DY36" s="2">
        <f t="shared" si="48"/>
        <v>41012.912592152359</v>
      </c>
      <c r="DZ36" s="2">
        <f t="shared" si="48"/>
        <v>41012.912592152359</v>
      </c>
      <c r="EA36" s="2">
        <f t="shared" si="48"/>
        <v>41012.912592152359</v>
      </c>
      <c r="EB36" s="2">
        <f t="shared" si="48"/>
        <v>41012.912592152359</v>
      </c>
      <c r="EC36" s="2">
        <f t="shared" si="48"/>
        <v>41012.912592152359</v>
      </c>
      <c r="ED36" s="2">
        <f t="shared" si="48"/>
        <v>41012.912592152359</v>
      </c>
      <c r="EE36" s="2">
        <f t="shared" si="48"/>
        <v>41012.912592152359</v>
      </c>
      <c r="EF36" s="2">
        <f t="shared" si="48"/>
        <v>41012.912592152359</v>
      </c>
    </row>
    <row r="37" spans="1:136" x14ac:dyDescent="0.2">
      <c r="B37" s="2" t="s">
        <v>1</v>
      </c>
      <c r="C37" s="2">
        <v>1769</v>
      </c>
      <c r="D37" s="2">
        <v>1771</v>
      </c>
      <c r="G37" s="2">
        <v>1768</v>
      </c>
      <c r="H37" s="2">
        <v>1771</v>
      </c>
      <c r="I37" s="2">
        <f t="shared" ref="I37:J37" si="49">H37</f>
        <v>1771</v>
      </c>
      <c r="J37" s="2">
        <f t="shared" si="49"/>
        <v>1771</v>
      </c>
      <c r="N37" s="2">
        <v>1771</v>
      </c>
      <c r="O37" s="2">
        <v>1768</v>
      </c>
      <c r="P37" s="2">
        <v>1769</v>
      </c>
      <c r="Q37" s="2">
        <f>J37</f>
        <v>1771</v>
      </c>
      <c r="R37" s="2">
        <f t="shared" ref="R37:Z37" si="50">Q37</f>
        <v>1771</v>
      </c>
      <c r="S37" s="2">
        <f t="shared" si="50"/>
        <v>1771</v>
      </c>
      <c r="T37" s="2">
        <f t="shared" si="50"/>
        <v>1771</v>
      </c>
      <c r="U37" s="2">
        <f t="shared" si="50"/>
        <v>1771</v>
      </c>
      <c r="V37" s="2">
        <f t="shared" si="50"/>
        <v>1771</v>
      </c>
      <c r="W37" s="2">
        <f t="shared" si="50"/>
        <v>1771</v>
      </c>
      <c r="X37" s="2">
        <f t="shared" si="50"/>
        <v>1771</v>
      </c>
      <c r="Y37" s="2">
        <f t="shared" si="50"/>
        <v>1771</v>
      </c>
      <c r="Z37" s="2">
        <f t="shared" si="50"/>
        <v>1771</v>
      </c>
    </row>
    <row r="38" spans="1:136" x14ac:dyDescent="0.2">
      <c r="B38" s="2" t="s">
        <v>25</v>
      </c>
      <c r="C38" s="1">
        <f>C36/C37</f>
        <v>0.87054833239118146</v>
      </c>
      <c r="D38" s="1">
        <f>D36/D37</f>
        <v>1.3049124788255222</v>
      </c>
      <c r="E38" s="1" t="e">
        <f t="shared" ref="E38:F38" si="51">E36/E37</f>
        <v>#DIV/0!</v>
      </c>
      <c r="F38" s="1" t="e">
        <f t="shared" si="51"/>
        <v>#DIV/0!</v>
      </c>
      <c r="G38" s="1">
        <f>G36/G37</f>
        <v>0.87160633484162897</v>
      </c>
      <c r="H38" s="1">
        <f t="shared" ref="H38:J38" si="52">H36/H37</f>
        <v>1.098814229249012</v>
      </c>
      <c r="I38" s="1">
        <f t="shared" si="52"/>
        <v>3.2431105646527394</v>
      </c>
      <c r="J38" s="1">
        <f t="shared" si="52"/>
        <v>3.431794104269339</v>
      </c>
      <c r="N38" s="1">
        <f>N36/N37</f>
        <v>7.1970638057594583</v>
      </c>
      <c r="O38" s="1">
        <f t="shared" ref="O38:P38" si="53">O36/O37</f>
        <v>3.1776018099547509</v>
      </c>
      <c r="P38" s="1">
        <f t="shared" si="53"/>
        <v>3.9892594686263427</v>
      </c>
      <c r="Q38" s="1">
        <f t="shared" ref="Q38" si="54">Q36/Q37</f>
        <v>8.6438487683009626</v>
      </c>
      <c r="R38" s="1">
        <f t="shared" ref="R38" si="55">R36/R37</f>
        <v>11.869317813489168</v>
      </c>
      <c r="S38" s="1">
        <f t="shared" ref="S38" si="56">S36/S37</f>
        <v>13.245709367318044</v>
      </c>
      <c r="T38" s="1">
        <f t="shared" ref="T38" si="57">T36/T37</f>
        <v>14.486880108066181</v>
      </c>
      <c r="U38" s="1">
        <f t="shared" ref="U38" si="58">U36/U37</f>
        <v>15.820971172538773</v>
      </c>
      <c r="V38" s="1">
        <f t="shared" ref="V38" si="59">V36/V37</f>
        <v>17.136468518947531</v>
      </c>
      <c r="W38" s="1">
        <f t="shared" ref="W38" si="60">W36/W37</f>
        <v>18.544597268614616</v>
      </c>
      <c r="X38" s="1">
        <f t="shared" ref="X38" si="61">X36/X37</f>
        <v>20.051841946075367</v>
      </c>
      <c r="Y38" s="1">
        <f t="shared" ref="Y38" si="62">Y36/Y37</f>
        <v>21.665151475238069</v>
      </c>
      <c r="Z38" s="1">
        <f t="shared" ref="Z38" si="63">Z36/Z37</f>
        <v>23.391973143149372</v>
      </c>
      <c r="AB38" s="2" t="s">
        <v>51</v>
      </c>
      <c r="AC38" s="10">
        <v>0.02</v>
      </c>
    </row>
    <row r="39" spans="1:136" x14ac:dyDescent="0.2">
      <c r="AB39" s="2" t="s">
        <v>52</v>
      </c>
      <c r="AC39" s="10">
        <v>-0.01</v>
      </c>
    </row>
    <row r="40" spans="1:136" s="7" customFormat="1" x14ac:dyDescent="0.2">
      <c r="A40" s="2"/>
      <c r="B40" s="7" t="s">
        <v>26</v>
      </c>
      <c r="G40" s="9">
        <f>G25/C25-1</f>
        <v>8.3915515840779831E-2</v>
      </c>
      <c r="H40" s="9">
        <f t="shared" ref="H40:J40" si="64">H25/D25-1</f>
        <v>6.6450006914672954E-2</v>
      </c>
      <c r="I40" s="9">
        <f t="shared" si="64"/>
        <v>9.6115491009681975E-2</v>
      </c>
      <c r="J40" s="9">
        <f t="shared" si="64"/>
        <v>9.2618255860150933E-2</v>
      </c>
      <c r="O40" s="9">
        <f>O25/N25-1</f>
        <v>-6.4353877424466854E-2</v>
      </c>
      <c r="P40" s="9">
        <f>P25/O25-1</f>
        <v>3.7114768584999513E-2</v>
      </c>
      <c r="Q40" s="9">
        <f t="shared" ref="Q40:Z40" si="65">Q25/P25-1</f>
        <v>8.4896348563922253E-2</v>
      </c>
      <c r="R40" s="9">
        <f t="shared" si="65"/>
        <v>-5.0139987677216613E-2</v>
      </c>
      <c r="S40" s="9">
        <f t="shared" si="65"/>
        <v>7.0410843661960154E-2</v>
      </c>
      <c r="T40" s="9">
        <f t="shared" si="65"/>
        <v>5.7986792298960532E-2</v>
      </c>
      <c r="U40" s="9">
        <f t="shared" si="65"/>
        <v>5.838869268418434E-2</v>
      </c>
      <c r="V40" s="9">
        <f t="shared" si="65"/>
        <v>5.3479046161743149E-2</v>
      </c>
      <c r="W40" s="9">
        <f t="shared" si="65"/>
        <v>5.3915838250196524E-2</v>
      </c>
      <c r="X40" s="9">
        <f t="shared" si="65"/>
        <v>5.4351655708714253E-2</v>
      </c>
      <c r="Y40" s="9">
        <f t="shared" si="65"/>
        <v>5.478617093417415E-2</v>
      </c>
      <c r="Z40" s="9">
        <f t="shared" si="65"/>
        <v>5.5219060809227116E-2</v>
      </c>
      <c r="AB40" s="2" t="s">
        <v>53</v>
      </c>
      <c r="AC40" s="10">
        <v>7.0000000000000007E-2</v>
      </c>
    </row>
    <row r="41" spans="1:136" x14ac:dyDescent="0.2">
      <c r="B41" s="2" t="s">
        <v>17</v>
      </c>
      <c r="C41" s="10">
        <f>C27/C25</f>
        <v>0.66742485783915517</v>
      </c>
      <c r="D41" s="10">
        <f t="shared" ref="D41:H41" si="66">D27/D25</f>
        <v>0.70944544323053516</v>
      </c>
      <c r="E41" s="10">
        <f t="shared" si="66"/>
        <v>1</v>
      </c>
      <c r="F41" s="10">
        <f t="shared" si="66"/>
        <v>1</v>
      </c>
      <c r="G41" s="10">
        <f t="shared" si="66"/>
        <v>0.70006745109795399</v>
      </c>
      <c r="H41" s="10">
        <f t="shared" si="66"/>
        <v>0.71821305841924399</v>
      </c>
      <c r="I41" s="10">
        <v>0.7</v>
      </c>
      <c r="J41" s="10">
        <v>0.7</v>
      </c>
      <c r="N41" s="10">
        <f t="shared" ref="N41:Q41" si="67">N27/N25</f>
        <v>0.70003789575223063</v>
      </c>
      <c r="O41" s="10">
        <f t="shared" si="67"/>
        <v>0.6241577377664862</v>
      </c>
      <c r="P41" s="10">
        <f t="shared" si="67"/>
        <v>0.69993254517698011</v>
      </c>
      <c r="Q41" s="10">
        <f t="shared" si="67"/>
        <v>0.70461086229262326</v>
      </c>
      <c r="R41" s="10">
        <v>0.7</v>
      </c>
      <c r="S41" s="10">
        <v>0.7</v>
      </c>
      <c r="T41" s="10">
        <v>0.7</v>
      </c>
      <c r="U41" s="10">
        <v>0.7</v>
      </c>
      <c r="V41" s="10">
        <v>0.7</v>
      </c>
      <c r="W41" s="10">
        <v>0.7</v>
      </c>
      <c r="X41" s="10">
        <v>0.7</v>
      </c>
      <c r="Y41" s="10">
        <v>0.7</v>
      </c>
      <c r="Z41" s="10">
        <v>0.7</v>
      </c>
      <c r="AB41" s="2" t="s">
        <v>54</v>
      </c>
      <c r="AC41" s="2">
        <f>NPV(AC40,Q36:XFD36)+Main!L5-Main!L6</f>
        <v>425010.79809717945</v>
      </c>
      <c r="AD41" s="10"/>
    </row>
    <row r="42" spans="1:136" x14ac:dyDescent="0.2">
      <c r="B42" s="2" t="s">
        <v>56</v>
      </c>
      <c r="C42" s="10"/>
      <c r="D42" s="10"/>
      <c r="E42" s="10"/>
      <c r="F42" s="10"/>
      <c r="G42" s="10">
        <f>G28/C28-1</f>
        <v>-6.6365007541477894E-3</v>
      </c>
      <c r="H42" s="10">
        <f>H28/D28-1</f>
        <v>-3.6718981344388557E-2</v>
      </c>
      <c r="I42" s="10" t="e">
        <f t="shared" ref="I42:J42" si="68">I28/E28-1</f>
        <v>#DIV/0!</v>
      </c>
      <c r="J42" s="10" t="e">
        <f t="shared" si="68"/>
        <v>#DIV/0!</v>
      </c>
      <c r="N42" s="10"/>
      <c r="O42" s="10">
        <f>O28/N28-1</f>
        <v>-0.15648754914809959</v>
      </c>
      <c r="P42" s="10">
        <f>P28/O28-1</f>
        <v>0.14605344934742082</v>
      </c>
      <c r="Q42" s="10">
        <f t="shared" ref="Q42:Z42" si="69">Q28/P28-1</f>
        <v>-9.5194027928416469E-2</v>
      </c>
      <c r="R42" s="10">
        <f t="shared" si="69"/>
        <v>2.0000000000000018E-2</v>
      </c>
      <c r="S42" s="10">
        <f t="shared" si="69"/>
        <v>2.0000000000000018E-2</v>
      </c>
      <c r="T42" s="10">
        <f t="shared" si="69"/>
        <v>2.0000000000000018E-2</v>
      </c>
      <c r="U42" s="10">
        <f t="shared" si="69"/>
        <v>2.0000000000000018E-2</v>
      </c>
      <c r="V42" s="10">
        <f t="shared" si="69"/>
        <v>2.0000000000000018E-2</v>
      </c>
      <c r="W42" s="10">
        <f t="shared" si="69"/>
        <v>2.0000000000000018E-2</v>
      </c>
      <c r="X42" s="10">
        <f t="shared" si="69"/>
        <v>2.0000000000000018E-2</v>
      </c>
      <c r="Y42" s="10">
        <f t="shared" si="69"/>
        <v>2.0000000000000018E-2</v>
      </c>
      <c r="Z42" s="10">
        <f t="shared" si="69"/>
        <v>2.0000000000000018E-2</v>
      </c>
      <c r="AB42" s="2" t="s">
        <v>55</v>
      </c>
      <c r="AC42" s="1">
        <f>AC41/Main!L3</f>
        <v>240.60846812566771</v>
      </c>
    </row>
    <row r="43" spans="1:136" x14ac:dyDescent="0.2">
      <c r="B43" s="2" t="s">
        <v>188</v>
      </c>
      <c r="C43" s="10"/>
      <c r="D43" s="10">
        <f>D3/C3-1</f>
        <v>0.35806772908366535</v>
      </c>
      <c r="E43" s="10">
        <f t="shared" ref="E43:H43" si="70">E3/D3-1</f>
        <v>0.17528419508617521</v>
      </c>
      <c r="F43" s="10">
        <f t="shared" si="70"/>
        <v>0.17878315132605294</v>
      </c>
      <c r="G43" s="10">
        <f t="shared" si="70"/>
        <v>-9.3435680254102649E-2</v>
      </c>
      <c r="H43" s="10">
        <f t="shared" si="70"/>
        <v>0.29138686131386859</v>
      </c>
      <c r="I43" s="10"/>
      <c r="J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10">
        <f>AC42/Main!L2-1</f>
        <v>0.23388958013162919</v>
      </c>
    </row>
    <row r="44" spans="1:136" x14ac:dyDescent="0.2">
      <c r="B44" s="2" t="s">
        <v>189</v>
      </c>
      <c r="C44" s="10"/>
      <c r="D44" s="10">
        <f>D4/C4-1</f>
        <v>0.30832570905763945</v>
      </c>
      <c r="E44" s="10">
        <f t="shared" ref="E44:H44" si="71">E4/D4-1</f>
        <v>0.12867132867132858</v>
      </c>
      <c r="F44" s="10">
        <f t="shared" si="71"/>
        <v>0.13630731102850069</v>
      </c>
      <c r="G44" s="10">
        <f t="shared" si="71"/>
        <v>-6.3249727371864739E-2</v>
      </c>
      <c r="H44" s="10">
        <f t="shared" si="71"/>
        <v>0.18044237485448189</v>
      </c>
      <c r="I44" s="10"/>
      <c r="J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1"/>
    </row>
    <row r="46" spans="1:136" x14ac:dyDescent="0.2">
      <c r="B46" s="2" t="s">
        <v>27</v>
      </c>
      <c r="G46" s="2">
        <f>G47-G58-G60</f>
        <v>-67295</v>
      </c>
      <c r="H46" s="2">
        <f>G46+H36</f>
        <v>-65349</v>
      </c>
      <c r="I46" s="2">
        <f>H46+I36</f>
        <v>-59605.45119</v>
      </c>
      <c r="J46" s="2">
        <f>I46+J36</f>
        <v>-53527.743831339001</v>
      </c>
      <c r="P46" s="2">
        <f>P47-P58-P60</f>
        <v>-96113</v>
      </c>
      <c r="Q46" s="2">
        <f>J46</f>
        <v>-53527.743831339001</v>
      </c>
      <c r="R46" s="2">
        <f t="shared" ref="R46:Z46" si="72">Q46+R36</f>
        <v>-32507.181983649683</v>
      </c>
      <c r="S46" s="2">
        <f t="shared" si="72"/>
        <v>-9049.0306941294257</v>
      </c>
      <c r="T46" s="2">
        <f t="shared" si="72"/>
        <v>16607.233977255783</v>
      </c>
      <c r="U46" s="2">
        <f t="shared" si="72"/>
        <v>44626.173923821945</v>
      </c>
      <c r="V46" s="2">
        <f t="shared" si="72"/>
        <v>74974.859670878024</v>
      </c>
      <c r="W46" s="2">
        <f t="shared" si="72"/>
        <v>107817.34143359451</v>
      </c>
      <c r="X46" s="2">
        <f t="shared" si="72"/>
        <v>143329.153520094</v>
      </c>
      <c r="Y46" s="2">
        <f t="shared" si="72"/>
        <v>181698.13678274062</v>
      </c>
      <c r="Z46" s="2">
        <f t="shared" si="72"/>
        <v>223125.32121925816</v>
      </c>
    </row>
    <row r="47" spans="1:136" x14ac:dyDescent="0.2">
      <c r="B47" s="2" t="s">
        <v>3</v>
      </c>
      <c r="G47" s="2">
        <f>5175+1</f>
        <v>5176</v>
      </c>
      <c r="P47" s="2">
        <f>5524+31</f>
        <v>5555</v>
      </c>
    </row>
    <row r="48" spans="1:136" x14ac:dyDescent="0.2">
      <c r="B48" s="2" t="s">
        <v>28</v>
      </c>
      <c r="G48" s="2">
        <v>12477</v>
      </c>
      <c r="P48" s="2">
        <v>10919</v>
      </c>
    </row>
    <row r="49" spans="2:16" x14ac:dyDescent="0.2">
      <c r="B49" s="2" t="s">
        <v>38</v>
      </c>
      <c r="G49" s="2">
        <v>4526</v>
      </c>
      <c r="P49" s="2">
        <v>4181</v>
      </c>
    </row>
    <row r="50" spans="2:16" x14ac:dyDescent="0.2">
      <c r="B50" s="2" t="s">
        <v>39</v>
      </c>
      <c r="G50" s="2">
        <v>5496</v>
      </c>
      <c r="P50" s="2">
        <v>4927</v>
      </c>
    </row>
    <row r="51" spans="2:16" x14ac:dyDescent="0.2">
      <c r="B51" s="2" t="s">
        <v>40</v>
      </c>
      <c r="G51" s="2">
        <v>287</v>
      </c>
      <c r="P51" s="2">
        <v>279</v>
      </c>
    </row>
    <row r="52" spans="2:16" x14ac:dyDescent="0.2">
      <c r="B52" s="2" t="s">
        <v>41</v>
      </c>
      <c r="G52" s="2">
        <v>5237</v>
      </c>
      <c r="P52" s="2">
        <v>5134</v>
      </c>
    </row>
    <row r="53" spans="2:16" x14ac:dyDescent="0.2">
      <c r="B53" s="2" t="s">
        <v>42</v>
      </c>
      <c r="G53" s="2">
        <v>58489</v>
      </c>
      <c r="P53" s="2">
        <v>60068</v>
      </c>
    </row>
    <row r="54" spans="2:16" x14ac:dyDescent="0.2">
      <c r="B54" s="2" t="s">
        <v>43</v>
      </c>
      <c r="G54" s="2">
        <v>35285</v>
      </c>
      <c r="P54" s="2">
        <v>34956</v>
      </c>
    </row>
    <row r="55" spans="2:16" x14ac:dyDescent="0.2">
      <c r="B55" s="2" t="s">
        <v>44</v>
      </c>
      <c r="G55" s="2">
        <v>9192</v>
      </c>
      <c r="P55" s="2">
        <v>9142</v>
      </c>
    </row>
    <row r="56" spans="2:16" x14ac:dyDescent="0.2">
      <c r="B56" s="2" t="s">
        <v>45</v>
      </c>
      <c r="G56" s="2">
        <f>SUM(G47:G55)</f>
        <v>136165</v>
      </c>
      <c r="P56" s="2">
        <f>SUM(P47:P55)</f>
        <v>135161</v>
      </c>
    </row>
    <row r="58" spans="2:16" x14ac:dyDescent="0.2">
      <c r="B58" s="2" t="s">
        <v>4</v>
      </c>
      <c r="G58" s="2">
        <f>1593+3769+64527</f>
        <v>69889</v>
      </c>
      <c r="P58" s="2">
        <f>6804+31945+60340</f>
        <v>99089</v>
      </c>
    </row>
    <row r="59" spans="2:16" x14ac:dyDescent="0.2">
      <c r="B59" s="2" t="s">
        <v>29</v>
      </c>
      <c r="G59" s="2">
        <v>31041</v>
      </c>
      <c r="P59" s="2">
        <v>31945</v>
      </c>
    </row>
    <row r="60" spans="2:16" x14ac:dyDescent="0.2">
      <c r="B60" s="2" t="s">
        <v>46</v>
      </c>
      <c r="G60" s="2">
        <v>2582</v>
      </c>
      <c r="P60" s="2">
        <v>2579</v>
      </c>
    </row>
    <row r="61" spans="2:16" x14ac:dyDescent="0.2">
      <c r="B61" s="2" t="s">
        <v>47</v>
      </c>
      <c r="G61" s="2">
        <v>31191</v>
      </c>
      <c r="P61" s="2">
        <v>30129</v>
      </c>
    </row>
    <row r="62" spans="2:16" x14ac:dyDescent="0.2">
      <c r="B62" s="2" t="s">
        <v>48</v>
      </c>
      <c r="G62" s="2">
        <f>SUM(G58:G61)</f>
        <v>134703</v>
      </c>
      <c r="P62" s="2">
        <f>SUM(P58:P61)</f>
        <v>163742</v>
      </c>
    </row>
    <row r="63" spans="2:16" x14ac:dyDescent="0.2">
      <c r="B63" s="2" t="s">
        <v>49</v>
      </c>
      <c r="G63" s="2">
        <f>G56-G62</f>
        <v>1462</v>
      </c>
      <c r="P63" s="2">
        <f>P56-P62</f>
        <v>-28581</v>
      </c>
    </row>
    <row r="64" spans="2:16" x14ac:dyDescent="0.2">
      <c r="B64" s="2" t="s">
        <v>50</v>
      </c>
      <c r="G64" s="2">
        <f>G63+G62</f>
        <v>136165</v>
      </c>
      <c r="P64" s="2">
        <f>P63+P62</f>
        <v>135161</v>
      </c>
    </row>
    <row r="67" spans="2:16" x14ac:dyDescent="0.2">
      <c r="B67" s="2" t="s">
        <v>82</v>
      </c>
      <c r="N67" s="2">
        <v>45713</v>
      </c>
      <c r="O67" s="2">
        <v>41883</v>
      </c>
      <c r="P67" s="2">
        <v>43029</v>
      </c>
    </row>
    <row r="68" spans="2:16" x14ac:dyDescent="0.2">
      <c r="B68" s="2" t="s">
        <v>83</v>
      </c>
      <c r="P68" s="2">
        <f>1465+776+528+522+511</f>
        <v>3802</v>
      </c>
    </row>
    <row r="69" spans="2:16" x14ac:dyDescent="0.2">
      <c r="B69" s="2" t="s">
        <v>84</v>
      </c>
      <c r="P69" s="2">
        <f>1122+917</f>
        <v>2039</v>
      </c>
    </row>
    <row r="70" spans="2:16" x14ac:dyDescent="0.2">
      <c r="B70" s="2" t="s">
        <v>21</v>
      </c>
      <c r="P70" s="2">
        <f>1088+464+463+5449</f>
        <v>7464</v>
      </c>
    </row>
    <row r="72" spans="2:16" x14ac:dyDescent="0.2">
      <c r="H72" s="10"/>
    </row>
  </sheetData>
  <hyperlinks>
    <hyperlink ref="A1" location="Main!A1" display="Main" xr:uid="{F5BCB6FA-25BE-418A-B1AC-5F271BEE4531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691C-EF7A-4C1F-BEEE-5614EFADACBA}">
  <dimension ref="A1:E2"/>
  <sheetViews>
    <sheetView zoomScale="115" zoomScaleNormal="115" workbookViewId="0">
      <pane ySplit="2" topLeftCell="A3" activePane="bottomLeft" state="frozen"/>
      <selection pane="bottomLeft" activeCell="E8" sqref="E8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6" t="s">
        <v>13</v>
      </c>
    </row>
    <row r="2" spans="1:5" x14ac:dyDescent="0.2">
      <c r="B2" t="s">
        <v>122</v>
      </c>
      <c r="C2" t="s">
        <v>123</v>
      </c>
      <c r="D2" t="s">
        <v>124</v>
      </c>
      <c r="E2" t="s">
        <v>120</v>
      </c>
    </row>
  </sheetData>
  <hyperlinks>
    <hyperlink ref="A1" location="Main!A1" display="Main" xr:uid="{72378C0A-8406-458D-AC9B-1B22650CAC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22-9A05-4171-A914-509D245919F6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5" x14ac:dyDescent="0.2">
      <c r="A1" s="6" t="s">
        <v>13</v>
      </c>
    </row>
    <row r="2" spans="1:5" x14ac:dyDescent="0.2">
      <c r="B2" t="s">
        <v>119</v>
      </c>
      <c r="C2" t="s">
        <v>120</v>
      </c>
      <c r="D2" t="s">
        <v>118</v>
      </c>
      <c r="E2" t="s">
        <v>121</v>
      </c>
    </row>
  </sheetData>
  <hyperlinks>
    <hyperlink ref="A1" location="Main!A1" display="Main" xr:uid="{F39C1E47-7CDF-4DD9-A8D1-B6AE035D3D9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D83-959E-49FB-893E-73189B85D59B}">
  <dimension ref="A1:R25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11" customWidth="1"/>
  </cols>
  <sheetData>
    <row r="1" spans="1:15" x14ac:dyDescent="0.2">
      <c r="A1" s="6" t="s">
        <v>13</v>
      </c>
    </row>
    <row r="2" spans="1:15" x14ac:dyDescent="0.2">
      <c r="B2" t="s">
        <v>113</v>
      </c>
      <c r="C2" t="s">
        <v>64</v>
      </c>
    </row>
    <row r="3" spans="1:15" x14ac:dyDescent="0.2">
      <c r="B3" t="s">
        <v>114</v>
      </c>
      <c r="C3" t="s">
        <v>128</v>
      </c>
    </row>
    <row r="4" spans="1:15" x14ac:dyDescent="0.2">
      <c r="B4" t="s">
        <v>7</v>
      </c>
      <c r="C4" t="s">
        <v>184</v>
      </c>
    </row>
    <row r="5" spans="1:15" x14ac:dyDescent="0.2">
      <c r="B5" t="s">
        <v>9</v>
      </c>
      <c r="C5" t="s">
        <v>136</v>
      </c>
    </row>
    <row r="6" spans="1:15" x14ac:dyDescent="0.2">
      <c r="B6" t="s">
        <v>11</v>
      </c>
    </row>
    <row r="7" spans="1:15" x14ac:dyDescent="0.2">
      <c r="B7" t="s">
        <v>115</v>
      </c>
    </row>
    <row r="8" spans="1:15" x14ac:dyDescent="0.2">
      <c r="B8" t="s">
        <v>117</v>
      </c>
      <c r="C8" s="8" t="s">
        <v>125</v>
      </c>
    </row>
    <row r="9" spans="1:15" x14ac:dyDescent="0.2">
      <c r="B9" t="s">
        <v>116</v>
      </c>
    </row>
    <row r="10" spans="1:15" x14ac:dyDescent="0.2">
      <c r="C10" s="18" t="s">
        <v>204</v>
      </c>
    </row>
    <row r="11" spans="1:15" x14ac:dyDescent="0.2">
      <c r="C11" t="s">
        <v>195</v>
      </c>
    </row>
    <row r="12" spans="1:15" x14ac:dyDescent="0.2">
      <c r="C12" t="s">
        <v>194</v>
      </c>
    </row>
    <row r="13" spans="1:15" x14ac:dyDescent="0.2">
      <c r="C13" t="s">
        <v>205</v>
      </c>
    </row>
    <row r="15" spans="1:15" x14ac:dyDescent="0.2">
      <c r="C15" s="19"/>
    </row>
    <row r="16" spans="1:15" x14ac:dyDescent="0.2">
      <c r="C16">
        <v>2025</v>
      </c>
      <c r="D16">
        <f>C16+1</f>
        <v>2026</v>
      </c>
      <c r="E16">
        <f t="shared" ref="E16:O16" si="0">D16+1</f>
        <v>2027</v>
      </c>
      <c r="F16">
        <f t="shared" si="0"/>
        <v>2028</v>
      </c>
      <c r="G16">
        <f t="shared" si="0"/>
        <v>2029</v>
      </c>
      <c r="H16">
        <f t="shared" si="0"/>
        <v>2030</v>
      </c>
      <c r="I16">
        <f t="shared" si="0"/>
        <v>2031</v>
      </c>
      <c r="J16">
        <f t="shared" si="0"/>
        <v>2032</v>
      </c>
      <c r="K16">
        <f t="shared" si="0"/>
        <v>2033</v>
      </c>
      <c r="L16">
        <f t="shared" si="0"/>
        <v>2034</v>
      </c>
      <c r="M16">
        <f t="shared" si="0"/>
        <v>2035</v>
      </c>
      <c r="N16">
        <f t="shared" si="0"/>
        <v>2036</v>
      </c>
      <c r="O16">
        <f t="shared" si="0"/>
        <v>2037</v>
      </c>
    </row>
    <row r="17" spans="2:18" x14ac:dyDescent="0.2">
      <c r="B17" t="s">
        <v>185</v>
      </c>
      <c r="C17" s="2">
        <v>300000</v>
      </c>
      <c r="D17" s="2">
        <f>C17*1.01</f>
        <v>303000</v>
      </c>
      <c r="E17" s="2">
        <f t="shared" ref="E17:O17" si="1">D17*1.01</f>
        <v>306030</v>
      </c>
      <c r="F17" s="2">
        <f t="shared" si="1"/>
        <v>309090.3</v>
      </c>
      <c r="G17" s="2">
        <f t="shared" si="1"/>
        <v>312181.20299999998</v>
      </c>
      <c r="H17" s="2">
        <f t="shared" si="1"/>
        <v>315303.01503000001</v>
      </c>
      <c r="I17" s="2">
        <f t="shared" si="1"/>
        <v>318456.04518030002</v>
      </c>
      <c r="J17" s="2">
        <f t="shared" si="1"/>
        <v>321640.60563210305</v>
      </c>
      <c r="K17" s="2">
        <f t="shared" si="1"/>
        <v>324857.0116884241</v>
      </c>
      <c r="L17" s="2">
        <f t="shared" si="1"/>
        <v>328105.58180530835</v>
      </c>
      <c r="M17" s="2">
        <f t="shared" si="1"/>
        <v>331386.63762336143</v>
      </c>
      <c r="N17" s="2">
        <f t="shared" si="1"/>
        <v>334700.50399959506</v>
      </c>
      <c r="O17" s="2">
        <f t="shared" si="1"/>
        <v>338047.50903959101</v>
      </c>
      <c r="P17" s="2"/>
      <c r="Q17" s="2"/>
      <c r="R17" s="2"/>
    </row>
    <row r="18" spans="2:18" x14ac:dyDescent="0.2">
      <c r="B18" t="s">
        <v>186</v>
      </c>
      <c r="C18" s="2">
        <f>C17*0.4</f>
        <v>120000</v>
      </c>
      <c r="D18" s="2">
        <f t="shared" ref="D18:O18" si="2">D17*0.4</f>
        <v>121200</v>
      </c>
      <c r="E18" s="2">
        <f t="shared" si="2"/>
        <v>122412</v>
      </c>
      <c r="F18" s="2">
        <f t="shared" si="2"/>
        <v>123636.12</v>
      </c>
      <c r="G18" s="2">
        <f t="shared" si="2"/>
        <v>124872.48119999999</v>
      </c>
      <c r="H18" s="2">
        <f t="shared" si="2"/>
        <v>126121.20601200001</v>
      </c>
      <c r="I18" s="2">
        <f t="shared" si="2"/>
        <v>127382.41807212001</v>
      </c>
      <c r="J18" s="2">
        <f t="shared" si="2"/>
        <v>128656.24225284123</v>
      </c>
      <c r="K18" s="2">
        <f t="shared" si="2"/>
        <v>129942.80467536964</v>
      </c>
      <c r="L18" s="2">
        <f t="shared" si="2"/>
        <v>131242.23272212336</v>
      </c>
      <c r="M18" s="2">
        <f t="shared" si="2"/>
        <v>132554.65504934458</v>
      </c>
      <c r="N18" s="2">
        <f t="shared" si="2"/>
        <v>133880.20159983804</v>
      </c>
      <c r="O18" s="2">
        <f t="shared" si="2"/>
        <v>135219.00361583641</v>
      </c>
      <c r="P18" s="2"/>
      <c r="Q18" s="2"/>
      <c r="R18" s="2"/>
    </row>
    <row r="19" spans="2:18" x14ac:dyDescent="0.2">
      <c r="B19" t="s">
        <v>0</v>
      </c>
      <c r="C19" s="2">
        <v>5000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v>5000</v>
      </c>
      <c r="P19" s="2"/>
      <c r="Q19" s="2"/>
      <c r="R19" s="2"/>
    </row>
    <row r="20" spans="2:18" x14ac:dyDescent="0.2">
      <c r="B20" t="s">
        <v>14</v>
      </c>
      <c r="C20" s="2">
        <f>(C19*C18/1000000)*0.7</f>
        <v>420</v>
      </c>
      <c r="D20" s="2">
        <f t="shared" ref="D20:O20" si="3">(D19*D18/1000000)*0.7</f>
        <v>424.2</v>
      </c>
      <c r="E20" s="2">
        <f t="shared" si="3"/>
        <v>428.44199999999995</v>
      </c>
      <c r="F20" s="2">
        <f t="shared" si="3"/>
        <v>432.72642000000002</v>
      </c>
      <c r="G20" s="2">
        <f t="shared" si="3"/>
        <v>437.05368419999996</v>
      </c>
      <c r="H20" s="2">
        <f t="shared" si="3"/>
        <v>441.42422104200006</v>
      </c>
      <c r="I20" s="2">
        <f t="shared" si="3"/>
        <v>445.83846325242001</v>
      </c>
      <c r="J20" s="2">
        <f t="shared" si="3"/>
        <v>450.29684788494427</v>
      </c>
      <c r="K20" s="2">
        <f t="shared" si="3"/>
        <v>454.7998163637937</v>
      </c>
      <c r="L20" s="2">
        <f t="shared" si="3"/>
        <v>459.34781452743175</v>
      </c>
      <c r="M20" s="2">
        <f t="shared" si="3"/>
        <v>463.94129267270603</v>
      </c>
      <c r="N20" s="2">
        <f t="shared" si="3"/>
        <v>468.58070559943314</v>
      </c>
      <c r="O20" s="2">
        <f t="shared" si="3"/>
        <v>473.26651265542739</v>
      </c>
      <c r="P20" s="2"/>
      <c r="Q20" s="2"/>
      <c r="R20" s="2"/>
    </row>
    <row r="22" spans="2:18" x14ac:dyDescent="0.2">
      <c r="B22" t="s">
        <v>53</v>
      </c>
      <c r="C22" s="10">
        <v>7.0000000000000007E-2</v>
      </c>
      <c r="E22" t="s">
        <v>115</v>
      </c>
      <c r="J22" t="s">
        <v>203</v>
      </c>
    </row>
    <row r="23" spans="2:18" x14ac:dyDescent="0.2">
      <c r="B23" t="s">
        <v>54</v>
      </c>
      <c r="C23" s="20">
        <f>NPV(C22,D20:XFD20)</f>
        <v>3532.710809292696</v>
      </c>
      <c r="F23" t="s">
        <v>196</v>
      </c>
      <c r="G23" t="s">
        <v>199</v>
      </c>
      <c r="J23" t="s">
        <v>202</v>
      </c>
    </row>
    <row r="24" spans="2:18" x14ac:dyDescent="0.2">
      <c r="F24" t="s">
        <v>197</v>
      </c>
      <c r="G24" t="s">
        <v>200</v>
      </c>
    </row>
    <row r="25" spans="2:18" x14ac:dyDescent="0.2">
      <c r="F25" t="s">
        <v>198</v>
      </c>
      <c r="G25" t="s">
        <v>200</v>
      </c>
      <c r="H25" t="s">
        <v>201</v>
      </c>
    </row>
  </sheetData>
  <hyperlinks>
    <hyperlink ref="A1" location="Main!A1" display="Main" xr:uid="{30C7217F-D5A0-4740-B6FE-EC3A525EA0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52-0544-46E9-93D9-C9ACA7CED10F}">
  <dimension ref="A1:O40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3.42578125" customWidth="1"/>
    <col min="15" max="15" width="9.5703125" customWidth="1"/>
  </cols>
  <sheetData>
    <row r="1" spans="1:12" x14ac:dyDescent="0.2">
      <c r="A1" s="6" t="s">
        <v>13</v>
      </c>
    </row>
    <row r="2" spans="1:12" x14ac:dyDescent="0.2">
      <c r="B2" t="s">
        <v>113</v>
      </c>
      <c r="C2" t="s">
        <v>63</v>
      </c>
    </row>
    <row r="3" spans="1:12" x14ac:dyDescent="0.2">
      <c r="B3" t="s">
        <v>114</v>
      </c>
      <c r="C3" t="s">
        <v>193</v>
      </c>
    </row>
    <row r="4" spans="1:12" x14ac:dyDescent="0.2">
      <c r="B4" t="s">
        <v>7</v>
      </c>
      <c r="C4" t="s">
        <v>207</v>
      </c>
    </row>
    <row r="5" spans="1:12" x14ac:dyDescent="0.2">
      <c r="B5" t="s">
        <v>9</v>
      </c>
      <c r="C5" t="s">
        <v>134</v>
      </c>
    </row>
    <row r="6" spans="1:12" x14ac:dyDescent="0.2">
      <c r="B6" t="s">
        <v>11</v>
      </c>
      <c r="C6" t="s">
        <v>155</v>
      </c>
    </row>
    <row r="7" spans="1:12" x14ac:dyDescent="0.2">
      <c r="B7" t="s">
        <v>115</v>
      </c>
    </row>
    <row r="8" spans="1:12" x14ac:dyDescent="0.2">
      <c r="B8" t="s">
        <v>117</v>
      </c>
    </row>
    <row r="9" spans="1:12" x14ac:dyDescent="0.2">
      <c r="B9" t="s">
        <v>116</v>
      </c>
    </row>
    <row r="12" spans="1:12" x14ac:dyDescent="0.2">
      <c r="B12" s="18" t="s">
        <v>206</v>
      </c>
    </row>
    <row r="13" spans="1:12" x14ac:dyDescent="0.2">
      <c r="C13">
        <v>2025</v>
      </c>
      <c r="D13">
        <f>C13+1</f>
        <v>2026</v>
      </c>
      <c r="E13">
        <f t="shared" ref="E13:L13" si="0">D13+1</f>
        <v>2027</v>
      </c>
      <c r="F13">
        <f t="shared" si="0"/>
        <v>2028</v>
      </c>
      <c r="G13">
        <f t="shared" si="0"/>
        <v>2029</v>
      </c>
      <c r="H13">
        <f t="shared" si="0"/>
        <v>2030</v>
      </c>
      <c r="I13">
        <f t="shared" si="0"/>
        <v>2031</v>
      </c>
      <c r="J13">
        <f t="shared" si="0"/>
        <v>2032</v>
      </c>
      <c r="K13">
        <f t="shared" si="0"/>
        <v>2033</v>
      </c>
      <c r="L13">
        <f t="shared" si="0"/>
        <v>2034</v>
      </c>
    </row>
    <row r="14" spans="1:12" x14ac:dyDescent="0.2">
      <c r="B14" t="s">
        <v>185</v>
      </c>
      <c r="C14" s="2">
        <v>1500000</v>
      </c>
      <c r="D14" s="2">
        <f>C14*1.01</f>
        <v>1515000</v>
      </c>
      <c r="E14" s="2">
        <f t="shared" ref="E14:L14" si="1">D14*1.01</f>
        <v>1530150</v>
      </c>
      <c r="F14" s="2">
        <f t="shared" si="1"/>
        <v>1545451.5</v>
      </c>
      <c r="G14" s="2">
        <f t="shared" si="1"/>
        <v>1560906.0149999999</v>
      </c>
      <c r="H14" s="2">
        <f t="shared" si="1"/>
        <v>1576515.0751499999</v>
      </c>
      <c r="I14" s="2">
        <f t="shared" si="1"/>
        <v>1592280.2259014999</v>
      </c>
      <c r="J14" s="2">
        <f t="shared" si="1"/>
        <v>1608203.0281605148</v>
      </c>
      <c r="K14" s="2">
        <f t="shared" si="1"/>
        <v>1624285.05844212</v>
      </c>
      <c r="L14" s="2">
        <f t="shared" si="1"/>
        <v>1640527.9090265413</v>
      </c>
    </row>
    <row r="15" spans="1:12" x14ac:dyDescent="0.2">
      <c r="B15" t="s">
        <v>186</v>
      </c>
      <c r="C15" s="2">
        <f>C14*0.2</f>
        <v>300000</v>
      </c>
      <c r="D15" s="2">
        <f t="shared" ref="D15:G15" si="2">D14*0.2</f>
        <v>303000</v>
      </c>
      <c r="E15" s="2">
        <f t="shared" si="2"/>
        <v>306030</v>
      </c>
      <c r="F15" s="2">
        <f t="shared" si="2"/>
        <v>309090.3</v>
      </c>
      <c r="G15" s="2">
        <f t="shared" si="2"/>
        <v>312181.20299999998</v>
      </c>
      <c r="H15" s="2">
        <f>H14*0.3</f>
        <v>472954.52254499996</v>
      </c>
      <c r="I15" s="2">
        <f t="shared" ref="I15:L15" si="3">I14*0.3</f>
        <v>477684.06777044991</v>
      </c>
      <c r="J15" s="2">
        <f t="shared" si="3"/>
        <v>482460.9084481544</v>
      </c>
      <c r="K15" s="2">
        <f t="shared" si="3"/>
        <v>487285.51753263595</v>
      </c>
      <c r="L15" s="2">
        <f t="shared" si="3"/>
        <v>492158.37270796235</v>
      </c>
    </row>
    <row r="16" spans="1:12" x14ac:dyDescent="0.2">
      <c r="B16" t="s">
        <v>0</v>
      </c>
      <c r="C16" s="2">
        <v>22000</v>
      </c>
      <c r="D16" s="2">
        <v>22000</v>
      </c>
      <c r="E16" s="2">
        <v>22000</v>
      </c>
      <c r="F16" s="2">
        <v>22000</v>
      </c>
      <c r="G16" s="2">
        <v>22000</v>
      </c>
      <c r="H16" s="2">
        <v>22000</v>
      </c>
      <c r="I16" s="2">
        <v>22000</v>
      </c>
      <c r="J16" s="2">
        <v>22000</v>
      </c>
      <c r="K16" s="2">
        <v>22000</v>
      </c>
      <c r="L16" s="2">
        <v>22000</v>
      </c>
    </row>
    <row r="17" spans="2:15" x14ac:dyDescent="0.2">
      <c r="B17" t="s">
        <v>14</v>
      </c>
      <c r="C17" s="2">
        <f>C16*C15/1000000*0.7</f>
        <v>4620</v>
      </c>
      <c r="D17" s="2">
        <f t="shared" ref="D17:L17" si="4">D16*D15/1000000*0.7</f>
        <v>4666.2</v>
      </c>
      <c r="E17" s="2">
        <f t="shared" si="4"/>
        <v>4712.8619999999992</v>
      </c>
      <c r="F17" s="2">
        <f t="shared" si="4"/>
        <v>4759.9906199999996</v>
      </c>
      <c r="G17" s="2">
        <f t="shared" si="4"/>
        <v>4807.5905261999997</v>
      </c>
      <c r="H17" s="2">
        <f t="shared" si="4"/>
        <v>7283.499647192999</v>
      </c>
      <c r="I17" s="2">
        <f t="shared" si="4"/>
        <v>7356.3346436649281</v>
      </c>
      <c r="J17" s="2">
        <f t="shared" si="4"/>
        <v>7429.8979901015764</v>
      </c>
      <c r="K17" s="2">
        <f t="shared" si="4"/>
        <v>7504.1969700025938</v>
      </c>
      <c r="L17" s="2">
        <f t="shared" si="4"/>
        <v>7579.23893970262</v>
      </c>
    </row>
    <row r="19" spans="2:15" x14ac:dyDescent="0.2">
      <c r="B19" s="18" t="s">
        <v>208</v>
      </c>
    </row>
    <row r="20" spans="2:15" x14ac:dyDescent="0.2">
      <c r="C20">
        <v>2025</v>
      </c>
      <c r="D20">
        <f>C20+1</f>
        <v>2026</v>
      </c>
      <c r="E20">
        <f t="shared" ref="E20:L20" si="5">D20+1</f>
        <v>2027</v>
      </c>
      <c r="F20">
        <f t="shared" si="5"/>
        <v>2028</v>
      </c>
      <c r="G20">
        <f t="shared" si="5"/>
        <v>2029</v>
      </c>
      <c r="H20">
        <f t="shared" si="5"/>
        <v>2030</v>
      </c>
      <c r="I20">
        <f t="shared" si="5"/>
        <v>2031</v>
      </c>
      <c r="J20">
        <f t="shared" si="5"/>
        <v>2032</v>
      </c>
      <c r="K20">
        <f t="shared" si="5"/>
        <v>2033</v>
      </c>
      <c r="L20">
        <f t="shared" si="5"/>
        <v>2034</v>
      </c>
    </row>
    <row r="21" spans="2:15" x14ac:dyDescent="0.2">
      <c r="B21" t="s">
        <v>185</v>
      </c>
      <c r="C21" s="2">
        <v>2400000</v>
      </c>
      <c r="D21" s="2">
        <f>C21*1.01</f>
        <v>2424000</v>
      </c>
      <c r="E21" s="2">
        <f t="shared" ref="E21:L21" si="6">D21*1.01</f>
        <v>2448240</v>
      </c>
      <c r="F21" s="2">
        <f t="shared" si="6"/>
        <v>2472722.4</v>
      </c>
      <c r="G21" s="2">
        <f t="shared" si="6"/>
        <v>2497449.6239999998</v>
      </c>
      <c r="H21" s="2">
        <f t="shared" si="6"/>
        <v>2522424.1202400001</v>
      </c>
      <c r="I21" s="2">
        <f t="shared" si="6"/>
        <v>2547648.3614424001</v>
      </c>
      <c r="J21" s="2">
        <f t="shared" si="6"/>
        <v>2573124.8450568244</v>
      </c>
      <c r="K21" s="2">
        <f t="shared" si="6"/>
        <v>2598856.0935073928</v>
      </c>
      <c r="L21" s="2">
        <f t="shared" si="6"/>
        <v>2624844.6544424668</v>
      </c>
    </row>
    <row r="22" spans="2:15" x14ac:dyDescent="0.2">
      <c r="B22" t="s">
        <v>186</v>
      </c>
      <c r="C22" s="2">
        <f>C21*0.2</f>
        <v>480000</v>
      </c>
      <c r="D22" s="2">
        <f t="shared" ref="D22:G22" si="7">D21*0.2</f>
        <v>484800</v>
      </c>
      <c r="E22" s="2">
        <f t="shared" si="7"/>
        <v>489648</v>
      </c>
      <c r="F22" s="2">
        <f t="shared" si="7"/>
        <v>494544.48</v>
      </c>
      <c r="G22" s="2">
        <f t="shared" si="7"/>
        <v>499489.92479999998</v>
      </c>
      <c r="H22" s="2">
        <f>H21*0.3</f>
        <v>756727.236072</v>
      </c>
      <c r="I22" s="2">
        <f t="shared" ref="I22:L22" si="8">I21*0.3</f>
        <v>764294.50843271997</v>
      </c>
      <c r="J22" s="2">
        <f t="shared" si="8"/>
        <v>771937.45351704734</v>
      </c>
      <c r="K22" s="2">
        <f t="shared" si="8"/>
        <v>779656.82805221784</v>
      </c>
      <c r="L22" s="2">
        <f t="shared" si="8"/>
        <v>787453.39633273997</v>
      </c>
    </row>
    <row r="23" spans="2:15" x14ac:dyDescent="0.2">
      <c r="B23" t="s">
        <v>0</v>
      </c>
      <c r="C23" s="2">
        <v>22000</v>
      </c>
      <c r="D23" s="2">
        <v>22000</v>
      </c>
      <c r="E23" s="2">
        <v>22000</v>
      </c>
      <c r="F23" s="2">
        <v>22000</v>
      </c>
      <c r="G23" s="2">
        <v>22000</v>
      </c>
      <c r="H23" s="2">
        <v>22000</v>
      </c>
      <c r="I23" s="2">
        <v>22000</v>
      </c>
      <c r="J23" s="2">
        <v>22000</v>
      </c>
      <c r="K23" s="2">
        <v>22000</v>
      </c>
      <c r="L23" s="2">
        <v>22000</v>
      </c>
    </row>
    <row r="24" spans="2:15" x14ac:dyDescent="0.2">
      <c r="B24" t="s">
        <v>14</v>
      </c>
      <c r="C24" s="2">
        <f>C23*C22/1000000*0.7</f>
        <v>7391.9999999999991</v>
      </c>
      <c r="D24" s="2">
        <f t="shared" ref="D24:L24" si="9">D23*D22/1000000*0.7</f>
        <v>7465.92</v>
      </c>
      <c r="E24" s="2">
        <f t="shared" si="9"/>
        <v>7540.5791999999992</v>
      </c>
      <c r="F24" s="2">
        <f t="shared" si="9"/>
        <v>7615.9849919999988</v>
      </c>
      <c r="G24" s="2">
        <f t="shared" si="9"/>
        <v>7692.1448419199996</v>
      </c>
      <c r="H24" s="2">
        <f t="shared" si="9"/>
        <v>11653.599435508801</v>
      </c>
      <c r="I24" s="2">
        <f t="shared" si="9"/>
        <v>11770.135429863889</v>
      </c>
      <c r="J24" s="2">
        <f t="shared" si="9"/>
        <v>11887.83678416253</v>
      </c>
      <c r="K24" s="2">
        <f t="shared" si="9"/>
        <v>12006.715152004153</v>
      </c>
      <c r="L24" s="2">
        <f t="shared" si="9"/>
        <v>12126.782303524195</v>
      </c>
    </row>
    <row r="26" spans="2:15" x14ac:dyDescent="0.2">
      <c r="B26" s="18" t="s">
        <v>210</v>
      </c>
      <c r="N26" t="s">
        <v>212</v>
      </c>
    </row>
    <row r="27" spans="2:15" x14ac:dyDescent="0.2">
      <c r="C27">
        <v>2025</v>
      </c>
      <c r="D27">
        <f>C27+1</f>
        <v>2026</v>
      </c>
      <c r="E27">
        <f t="shared" ref="E27:L27" si="10">D27+1</f>
        <v>2027</v>
      </c>
      <c r="F27">
        <f t="shared" si="10"/>
        <v>2028</v>
      </c>
      <c r="G27">
        <f t="shared" si="10"/>
        <v>2029</v>
      </c>
      <c r="H27">
        <f t="shared" si="10"/>
        <v>2030</v>
      </c>
      <c r="I27">
        <f t="shared" si="10"/>
        <v>2031</v>
      </c>
      <c r="J27">
        <f t="shared" si="10"/>
        <v>2032</v>
      </c>
      <c r="K27">
        <f t="shared" si="10"/>
        <v>2033</v>
      </c>
      <c r="L27">
        <f t="shared" si="10"/>
        <v>2034</v>
      </c>
      <c r="N27" t="s">
        <v>213</v>
      </c>
    </row>
    <row r="28" spans="2:15" x14ac:dyDescent="0.2">
      <c r="B28" t="s">
        <v>185</v>
      </c>
      <c r="C28" s="2">
        <v>2400000</v>
      </c>
      <c r="D28" s="2">
        <f>C28*1.01</f>
        <v>2424000</v>
      </c>
      <c r="E28" s="2">
        <f t="shared" ref="E28:L28" si="11">D28*1.01</f>
        <v>2448240</v>
      </c>
      <c r="F28" s="2">
        <f t="shared" si="11"/>
        <v>2472722.4</v>
      </c>
      <c r="G28" s="2">
        <f t="shared" si="11"/>
        <v>2497449.6239999998</v>
      </c>
      <c r="H28" s="2">
        <f t="shared" si="11"/>
        <v>2522424.1202400001</v>
      </c>
      <c r="I28" s="2">
        <f t="shared" si="11"/>
        <v>2547648.3614424001</v>
      </c>
      <c r="J28" s="2">
        <f t="shared" si="11"/>
        <v>2573124.8450568244</v>
      </c>
      <c r="K28" s="2">
        <f t="shared" si="11"/>
        <v>2598856.0935073928</v>
      </c>
      <c r="L28" s="2">
        <f t="shared" si="11"/>
        <v>2624844.6544424668</v>
      </c>
    </row>
    <row r="29" spans="2:15" x14ac:dyDescent="0.2">
      <c r="B29" t="s">
        <v>186</v>
      </c>
      <c r="C29" s="2">
        <f>C28*0.1</f>
        <v>240000</v>
      </c>
      <c r="D29" s="2">
        <f>D28*0.15</f>
        <v>363600</v>
      </c>
      <c r="E29" s="2">
        <f t="shared" ref="E29:G29" si="12">E28*0.15</f>
        <v>367236</v>
      </c>
      <c r="F29" s="2">
        <f t="shared" si="12"/>
        <v>370908.36</v>
      </c>
      <c r="G29" s="2">
        <f t="shared" si="12"/>
        <v>374617.44359999994</v>
      </c>
      <c r="H29" s="2">
        <f>H28*0.2</f>
        <v>504484.82404800004</v>
      </c>
      <c r="I29" s="2">
        <f t="shared" ref="I29:L29" si="13">I28*0.2</f>
        <v>509529.67228848004</v>
      </c>
      <c r="J29" s="2">
        <f t="shared" si="13"/>
        <v>514624.96901136491</v>
      </c>
      <c r="K29" s="2">
        <f t="shared" si="13"/>
        <v>519771.21870147856</v>
      </c>
      <c r="L29" s="2">
        <f t="shared" si="13"/>
        <v>524968.93088849343</v>
      </c>
    </row>
    <row r="30" spans="2:15" x14ac:dyDescent="0.2">
      <c r="B30" t="s">
        <v>0</v>
      </c>
      <c r="C30" s="2">
        <v>22000</v>
      </c>
      <c r="D30" s="2">
        <v>22000</v>
      </c>
      <c r="E30" s="2">
        <v>22000</v>
      </c>
      <c r="F30" s="2">
        <v>22000</v>
      </c>
      <c r="G30" s="2">
        <v>22000</v>
      </c>
      <c r="H30" s="2">
        <v>22000</v>
      </c>
      <c r="I30" s="2">
        <v>22000</v>
      </c>
      <c r="J30" s="2">
        <v>22000</v>
      </c>
      <c r="K30" s="2">
        <v>22000</v>
      </c>
      <c r="L30" s="2">
        <v>22000</v>
      </c>
    </row>
    <row r="31" spans="2:15" x14ac:dyDescent="0.2">
      <c r="B31" t="s">
        <v>14</v>
      </c>
      <c r="C31" s="2">
        <f>C30*C29/1000000*0.7</f>
        <v>3695.9999999999995</v>
      </c>
      <c r="D31" s="2">
        <f t="shared" ref="D31:L31" si="14">D30*D29/1000000*0.7</f>
        <v>5599.44</v>
      </c>
      <c r="E31" s="2">
        <f t="shared" si="14"/>
        <v>5655.4344000000001</v>
      </c>
      <c r="F31" s="2">
        <f t="shared" si="14"/>
        <v>5711.9887439999993</v>
      </c>
      <c r="G31" s="2">
        <f t="shared" si="14"/>
        <v>5769.108631439999</v>
      </c>
      <c r="H31" s="2">
        <f t="shared" si="14"/>
        <v>7769.0662903392013</v>
      </c>
      <c r="I31" s="2">
        <f t="shared" si="14"/>
        <v>7846.7569532425923</v>
      </c>
      <c r="J31" s="2">
        <f t="shared" si="14"/>
        <v>7925.22452277502</v>
      </c>
      <c r="K31" s="2">
        <f t="shared" si="14"/>
        <v>8004.476768002768</v>
      </c>
      <c r="L31" s="2">
        <f t="shared" si="14"/>
        <v>8084.5215356827994</v>
      </c>
    </row>
    <row r="32" spans="2:15" x14ac:dyDescent="0.2">
      <c r="N32" t="s">
        <v>53</v>
      </c>
      <c r="O32" s="10">
        <v>7.0000000000000007E-2</v>
      </c>
    </row>
    <row r="33" spans="2:15" x14ac:dyDescent="0.2">
      <c r="B33" s="18" t="s">
        <v>211</v>
      </c>
      <c r="N33" t="s">
        <v>54</v>
      </c>
      <c r="O33" s="20">
        <f>NPV(O32,C40:XFD40)</f>
        <v>171931.16257890849</v>
      </c>
    </row>
    <row r="34" spans="2:15" x14ac:dyDescent="0.2">
      <c r="C34">
        <v>2025</v>
      </c>
      <c r="D34">
        <f>C34+1</f>
        <v>2026</v>
      </c>
      <c r="E34">
        <f t="shared" ref="E34:L34" si="15">D34+1</f>
        <v>2027</v>
      </c>
      <c r="F34">
        <f t="shared" si="15"/>
        <v>2028</v>
      </c>
      <c r="G34">
        <f t="shared" si="15"/>
        <v>2029</v>
      </c>
      <c r="H34">
        <f t="shared" si="15"/>
        <v>2030</v>
      </c>
      <c r="I34">
        <f t="shared" si="15"/>
        <v>2031</v>
      </c>
      <c r="J34">
        <f t="shared" si="15"/>
        <v>2032</v>
      </c>
      <c r="K34">
        <f t="shared" si="15"/>
        <v>2033</v>
      </c>
      <c r="L34">
        <f t="shared" si="15"/>
        <v>2034</v>
      </c>
    </row>
    <row r="35" spans="2:15" x14ac:dyDescent="0.2">
      <c r="B35" t="s">
        <v>185</v>
      </c>
      <c r="C35" s="2">
        <v>700000</v>
      </c>
      <c r="D35" s="2">
        <f>C35*1.01</f>
        <v>707000</v>
      </c>
      <c r="E35" s="2">
        <f t="shared" ref="E35:L35" si="16">D35*1.01</f>
        <v>714070</v>
      </c>
      <c r="F35" s="2">
        <f t="shared" si="16"/>
        <v>721210.7</v>
      </c>
      <c r="G35" s="2">
        <f t="shared" si="16"/>
        <v>728422.80699999991</v>
      </c>
      <c r="H35" s="2">
        <f t="shared" si="16"/>
        <v>735707.03506999987</v>
      </c>
      <c r="I35" s="2">
        <f t="shared" si="16"/>
        <v>743064.10542069993</v>
      </c>
      <c r="J35" s="2">
        <f t="shared" si="16"/>
        <v>750494.74647490692</v>
      </c>
      <c r="K35" s="2">
        <f t="shared" si="16"/>
        <v>757999.69393965602</v>
      </c>
      <c r="L35" s="2">
        <f t="shared" si="16"/>
        <v>765579.69087905262</v>
      </c>
    </row>
    <row r="36" spans="2:15" x14ac:dyDescent="0.2">
      <c r="B36" t="s">
        <v>186</v>
      </c>
      <c r="C36" s="2">
        <f>C35*0.2</f>
        <v>140000</v>
      </c>
      <c r="D36" s="2">
        <f t="shared" ref="D36:E36" si="17">D35*0.2</f>
        <v>141400</v>
      </c>
      <c r="E36" s="2">
        <f t="shared" si="17"/>
        <v>142814</v>
      </c>
      <c r="F36" s="2">
        <f>F35*0.3</f>
        <v>216363.21</v>
      </c>
      <c r="G36" s="2">
        <f t="shared" ref="G36:L36" si="18">G35*0.3</f>
        <v>218526.84209999998</v>
      </c>
      <c r="H36" s="2">
        <f t="shared" si="18"/>
        <v>220712.11052099997</v>
      </c>
      <c r="I36" s="2">
        <f t="shared" si="18"/>
        <v>222919.23162620998</v>
      </c>
      <c r="J36" s="2">
        <f t="shared" si="18"/>
        <v>225148.42394247206</v>
      </c>
      <c r="K36" s="2">
        <f t="shared" si="18"/>
        <v>227399.90818189681</v>
      </c>
      <c r="L36" s="2">
        <f t="shared" si="18"/>
        <v>229673.90726371578</v>
      </c>
    </row>
    <row r="37" spans="2:15" x14ac:dyDescent="0.2">
      <c r="B37" t="s">
        <v>0</v>
      </c>
      <c r="C37" s="2">
        <v>22000</v>
      </c>
      <c r="D37" s="2">
        <v>22000</v>
      </c>
      <c r="E37" s="2">
        <v>22000</v>
      </c>
      <c r="F37" s="2">
        <v>22000</v>
      </c>
      <c r="G37" s="2">
        <v>22000</v>
      </c>
      <c r="H37" s="2">
        <v>22000</v>
      </c>
      <c r="I37" s="2">
        <v>22000</v>
      </c>
      <c r="J37" s="2">
        <v>22000</v>
      </c>
      <c r="K37" s="2">
        <v>22000</v>
      </c>
      <c r="L37" s="2">
        <v>22000</v>
      </c>
    </row>
    <row r="38" spans="2:15" x14ac:dyDescent="0.2">
      <c r="B38" t="s">
        <v>14</v>
      </c>
      <c r="C38" s="2">
        <f>C37*C36/1000000*0.7</f>
        <v>2156</v>
      </c>
      <c r="D38" s="2">
        <f t="shared" ref="D38:L38" si="19">D37*D36/1000000*0.7</f>
        <v>2177.56</v>
      </c>
      <c r="E38" s="2">
        <f t="shared" si="19"/>
        <v>2199.3355999999999</v>
      </c>
      <c r="F38" s="2">
        <f t="shared" si="19"/>
        <v>3331.9934339999995</v>
      </c>
      <c r="G38" s="2">
        <f t="shared" si="19"/>
        <v>3365.3133683399997</v>
      </c>
      <c r="H38" s="2">
        <f t="shared" si="19"/>
        <v>3398.9665020233992</v>
      </c>
      <c r="I38" s="2">
        <f t="shared" si="19"/>
        <v>3432.9561670436337</v>
      </c>
      <c r="J38" s="2">
        <f t="shared" si="19"/>
        <v>3467.28572871407</v>
      </c>
      <c r="K38" s="2">
        <f t="shared" si="19"/>
        <v>3501.9585860012107</v>
      </c>
      <c r="L38" s="2">
        <f t="shared" si="19"/>
        <v>3536.978171861223</v>
      </c>
    </row>
    <row r="40" spans="2:15" x14ac:dyDescent="0.2">
      <c r="B40" t="s">
        <v>209</v>
      </c>
      <c r="C40" s="2">
        <f>C24+C17+C31+C38</f>
        <v>17864</v>
      </c>
      <c r="D40" s="2">
        <f t="shared" ref="D40:L40" si="20">D24+D17+D31+D38</f>
        <v>19909.12</v>
      </c>
      <c r="E40" s="2">
        <f t="shared" si="20"/>
        <v>20108.211199999998</v>
      </c>
      <c r="F40" s="2">
        <f t="shared" si="20"/>
        <v>21419.957789999997</v>
      </c>
      <c r="G40" s="2">
        <f t="shared" si="20"/>
        <v>21634.157367899999</v>
      </c>
      <c r="H40" s="2">
        <f t="shared" si="20"/>
        <v>30105.131875064399</v>
      </c>
      <c r="I40" s="2">
        <f t="shared" si="20"/>
        <v>30406.183193815043</v>
      </c>
      <c r="J40" s="2">
        <f t="shared" si="20"/>
        <v>30710.245025753196</v>
      </c>
      <c r="K40" s="2">
        <f t="shared" si="20"/>
        <v>31017.347476010727</v>
      </c>
      <c r="L40" s="2">
        <f t="shared" si="20"/>
        <v>31327.520950770835</v>
      </c>
    </row>
  </sheetData>
  <hyperlinks>
    <hyperlink ref="A1" location="Main!A1" display="Main" xr:uid="{E63A285D-45A0-4BCC-8C8B-F26A8C2CA90D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0E89-5DEE-436D-8847-7AD86A62FDA2}">
  <dimension ref="A1:B9"/>
  <sheetViews>
    <sheetView workbookViewId="0">
      <selection activeCell="D9" sqref="D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F162F2A-F588-4580-84A9-9B90FFD105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7EA-5805-4C13-A8AA-363B90D00346}">
  <dimension ref="A1:B9"/>
  <sheetViews>
    <sheetView workbookViewId="0">
      <selection activeCell="F19" sqref="F1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263408E-8D25-4983-A43E-1B0EF76AF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4CD-C69E-4A12-8836-7F4AAB917231}">
  <dimension ref="A1:B9"/>
  <sheetViews>
    <sheetView workbookViewId="0">
      <selection activeCell="I31" sqref="I3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4AE9F2F-57A2-49EA-9003-22A6E518C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rinvoq</vt:lpstr>
      <vt:lpstr>skyrizi</vt:lpstr>
      <vt:lpstr>ubrelvy</vt:lpstr>
      <vt:lpstr>quilipta</vt:lpstr>
      <vt:lpstr>vraylar</vt:lpstr>
      <vt:lpstr>epkinly</vt:lpstr>
      <vt:lpstr>elahere</vt:lpstr>
      <vt:lpstr>venclexta</vt:lpstr>
      <vt:lpstr>ABBV-113</vt:lpstr>
      <vt:lpstr>temab-a</vt:lpstr>
      <vt:lpstr>etentamig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2025-07-30T20:21:19Z</dcterms:created>
  <dcterms:modified xsi:type="dcterms:W3CDTF">2025-08-31T09:56:51Z</dcterms:modified>
</cp:coreProperties>
</file>