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5B9B3245-7FB3-4165-8C32-ADCC2065DBA7}" xr6:coauthVersionLast="47" xr6:coauthVersionMax="47" xr10:uidLastSave="{00000000-0000-0000-0000-000000000000}"/>
  <bookViews>
    <workbookView xWindow="1350" yWindow="1215" windowWidth="22200" windowHeight="14205" activeTab="3" xr2:uid="{1B6FF029-A03D-4586-8AFE-F39852695A08}"/>
  </bookViews>
  <sheets>
    <sheet name="Main" sheetId="2" r:id="rId1"/>
    <sheet name="Model" sheetId="1" r:id="rId2"/>
    <sheet name="IP" sheetId="5" r:id="rId3"/>
    <sheet name="Literature" sheetId="6" r:id="rId4"/>
    <sheet name="Sarcoidosis" sheetId="7" r:id="rId5"/>
    <sheet name="NRP2" sheetId="4" r:id="rId6"/>
    <sheet name="Efzofitimod"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3" l="1"/>
  <c r="G22" i="3"/>
  <c r="H22" i="3"/>
  <c r="I22" i="3"/>
  <c r="J22" i="3"/>
  <c r="K22" i="3"/>
  <c r="L22" i="3"/>
  <c r="M22" i="3"/>
  <c r="N22" i="3"/>
  <c r="O22" i="3"/>
  <c r="P22" i="3"/>
  <c r="Q22" i="3"/>
  <c r="E22" i="3"/>
  <c r="C29" i="3" l="1"/>
  <c r="D29" i="3" s="1"/>
  <c r="T20" i="1"/>
  <c r="C21" i="3"/>
  <c r="D21" i="3" s="1"/>
  <c r="E21" i="3" s="1"/>
  <c r="F21" i="3" s="1"/>
  <c r="F24" i="3" s="1"/>
  <c r="D24" i="3"/>
  <c r="C24" i="3"/>
  <c r="D20" i="3"/>
  <c r="E20" i="3" s="1"/>
  <c r="F20" i="3" s="1"/>
  <c r="G20" i="3" s="1"/>
  <c r="H20" i="3" s="1"/>
  <c r="I20" i="3" s="1"/>
  <c r="J20" i="3" s="1"/>
  <c r="K20" i="3" s="1"/>
  <c r="L20" i="3" s="1"/>
  <c r="M20" i="3" s="1"/>
  <c r="N20" i="3" s="1"/>
  <c r="O20" i="3" s="1"/>
  <c r="P20" i="3" s="1"/>
  <c r="Q20" i="3" s="1"/>
  <c r="H10" i="1"/>
  <c r="I7" i="1"/>
  <c r="J7" i="1"/>
  <c r="K7" i="1"/>
  <c r="L7" i="1"/>
  <c r="M7" i="1" s="1"/>
  <c r="H7" i="1"/>
  <c r="G19" i="1"/>
  <c r="F19" i="1"/>
  <c r="F15" i="1"/>
  <c r="G15" i="1"/>
  <c r="E15" i="1"/>
  <c r="E8" i="1"/>
  <c r="E5" i="1"/>
  <c r="H5" i="1"/>
  <c r="I5" i="1"/>
  <c r="J5" i="1"/>
  <c r="K5" i="1"/>
  <c r="L5" i="1"/>
  <c r="M5" i="1"/>
  <c r="N5" i="1"/>
  <c r="O5" i="1"/>
  <c r="P5" i="1"/>
  <c r="Q5" i="1"/>
  <c r="H8" i="1"/>
  <c r="I8" i="1"/>
  <c r="J8" i="1"/>
  <c r="K8" i="1"/>
  <c r="K9" i="1" s="1"/>
  <c r="L8" i="1"/>
  <c r="L9" i="1" s="1"/>
  <c r="F8" i="1"/>
  <c r="F5" i="1"/>
  <c r="G5" i="1"/>
  <c r="G8" i="1"/>
  <c r="C8" i="1"/>
  <c r="C5" i="1"/>
  <c r="C9" i="1" s="1"/>
  <c r="C11" i="1" s="1"/>
  <c r="C13" i="1" s="1"/>
  <c r="P9" i="2"/>
  <c r="C21" i="1"/>
  <c r="P6" i="2"/>
  <c r="P5" i="2"/>
  <c r="P3" i="2"/>
  <c r="G2" i="1"/>
  <c r="H2" i="1" s="1"/>
  <c r="I2" i="1" s="1"/>
  <c r="J2" i="1" s="1"/>
  <c r="K2" i="1" s="1"/>
  <c r="L2" i="1" s="1"/>
  <c r="M2" i="1" s="1"/>
  <c r="N2" i="1" s="1"/>
  <c r="O2" i="1" s="1"/>
  <c r="P2" i="1" s="1"/>
  <c r="Q2" i="1" s="1"/>
  <c r="P4" i="2"/>
  <c r="E24" i="3" l="1"/>
  <c r="G21" i="3"/>
  <c r="G24" i="3" s="1"/>
  <c r="J9" i="1"/>
  <c r="I9" i="1"/>
  <c r="H9" i="1"/>
  <c r="H11" i="1" s="1"/>
  <c r="M8" i="1"/>
  <c r="N7" i="1"/>
  <c r="E9" i="1"/>
  <c r="E11" i="1" s="1"/>
  <c r="E13" i="1" s="1"/>
  <c r="F9" i="1"/>
  <c r="F11" i="1" s="1"/>
  <c r="F13" i="1" s="1"/>
  <c r="G9" i="1"/>
  <c r="G11" i="1" s="1"/>
  <c r="G13" i="1" s="1"/>
  <c r="M9" i="1"/>
  <c r="P7" i="2"/>
  <c r="H21" i="3" l="1"/>
  <c r="H24" i="3" s="1"/>
  <c r="H12" i="1"/>
  <c r="H13" i="1" s="1"/>
  <c r="H21" i="1" s="1"/>
  <c r="I10" i="1" s="1"/>
  <c r="I11" i="1" s="1"/>
  <c r="N8" i="1"/>
  <c r="N9" i="1" s="1"/>
  <c r="O7" i="1"/>
  <c r="I21" i="3" l="1"/>
  <c r="I24" i="3" s="1"/>
  <c r="I12" i="1"/>
  <c r="I13" i="1" s="1"/>
  <c r="I21" i="1" s="1"/>
  <c r="J10" i="1" s="1"/>
  <c r="J11" i="1" s="1"/>
  <c r="J12" i="1" s="1"/>
  <c r="J13" i="1" s="1"/>
  <c r="J21" i="1" s="1"/>
  <c r="K10" i="1" s="1"/>
  <c r="K11" i="1" s="1"/>
  <c r="O8" i="1"/>
  <c r="O9" i="1" s="1"/>
  <c r="P7" i="1"/>
  <c r="J21" i="3" l="1"/>
  <c r="J24" i="3" s="1"/>
  <c r="K12" i="1"/>
  <c r="K13" i="1" s="1"/>
  <c r="K21" i="1" s="1"/>
  <c r="L10" i="1" s="1"/>
  <c r="L11" i="1" s="1"/>
  <c r="P8" i="1"/>
  <c r="P9" i="1" s="1"/>
  <c r="Q7" i="1"/>
  <c r="Q8" i="1" s="1"/>
  <c r="Q9" i="1" s="1"/>
  <c r="K21" i="3" l="1"/>
  <c r="K24" i="3" s="1"/>
  <c r="L12" i="1"/>
  <c r="L13" i="1" s="1"/>
  <c r="L21" i="1" s="1"/>
  <c r="M10" i="1" s="1"/>
  <c r="M11" i="1" s="1"/>
  <c r="L21" i="3" l="1"/>
  <c r="L24" i="3" s="1"/>
  <c r="M12" i="1"/>
  <c r="M13" i="1" s="1"/>
  <c r="M21" i="1" s="1"/>
  <c r="N10" i="1" s="1"/>
  <c r="N11" i="1" s="1"/>
  <c r="M21" i="3" l="1"/>
  <c r="M24" i="3" s="1"/>
  <c r="N12" i="1"/>
  <c r="N13" i="1" s="1"/>
  <c r="N21" i="1" s="1"/>
  <c r="O10" i="1" s="1"/>
  <c r="O11" i="1" s="1"/>
  <c r="N21" i="3" l="1"/>
  <c r="N24" i="3" s="1"/>
  <c r="O12" i="1"/>
  <c r="O13" i="1" s="1"/>
  <c r="O21" i="1" s="1"/>
  <c r="O21" i="3" l="1"/>
  <c r="O24" i="3" s="1"/>
  <c r="P10" i="1"/>
  <c r="P11" i="1" s="1"/>
  <c r="P21" i="3" l="1"/>
  <c r="P24" i="3" s="1"/>
  <c r="P12" i="1"/>
  <c r="P13" i="1" s="1"/>
  <c r="P21" i="1" s="1"/>
  <c r="Q21" i="3" l="1"/>
  <c r="Q10" i="1"/>
  <c r="Q11" i="1" s="1"/>
  <c r="Q24" i="3" l="1"/>
  <c r="C26" i="3" s="1"/>
  <c r="C28" i="3" s="1"/>
  <c r="D28" i="3" s="1"/>
  <c r="Q12" i="1"/>
  <c r="Q13" i="1" s="1"/>
  <c r="T21" i="1" l="1"/>
  <c r="C30" i="3"/>
  <c r="R13" i="1"/>
  <c r="S13" i="1" s="1"/>
  <c r="T13" i="1" s="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BB13" i="1" s="1"/>
  <c r="BC13" i="1" s="1"/>
  <c r="BD13" i="1" s="1"/>
  <c r="BE13" i="1" s="1"/>
  <c r="BF13" i="1" s="1"/>
  <c r="BG13" i="1" s="1"/>
  <c r="BH13" i="1" s="1"/>
  <c r="BI13" i="1" s="1"/>
  <c r="BJ13" i="1" s="1"/>
  <c r="BK13" i="1" s="1"/>
  <c r="BL13" i="1" s="1"/>
  <c r="BM13" i="1" s="1"/>
  <c r="BN13" i="1" s="1"/>
  <c r="BO13" i="1" s="1"/>
  <c r="BP13" i="1" s="1"/>
  <c r="BQ13" i="1" s="1"/>
  <c r="BR13" i="1" s="1"/>
  <c r="BS13" i="1" s="1"/>
  <c r="BT13" i="1" s="1"/>
  <c r="BU13" i="1" s="1"/>
  <c r="BV13" i="1" s="1"/>
  <c r="BW13" i="1" s="1"/>
  <c r="BX13" i="1" s="1"/>
  <c r="BY13" i="1" s="1"/>
  <c r="BZ13" i="1" s="1"/>
  <c r="CA13" i="1" s="1"/>
  <c r="CB13" i="1" s="1"/>
  <c r="CC13" i="1" s="1"/>
  <c r="CD13" i="1" s="1"/>
  <c r="CE13" i="1" s="1"/>
  <c r="CF13" i="1" s="1"/>
  <c r="CG13" i="1" s="1"/>
  <c r="CH13" i="1" s="1"/>
  <c r="CI13" i="1" s="1"/>
  <c r="CJ13" i="1" s="1"/>
  <c r="CK13" i="1" s="1"/>
  <c r="CL13" i="1" s="1"/>
  <c r="CM13" i="1" s="1"/>
  <c r="CN13" i="1" s="1"/>
  <c r="CO13" i="1" s="1"/>
  <c r="CP13" i="1" s="1"/>
  <c r="CQ13" i="1" s="1"/>
  <c r="CR13" i="1" s="1"/>
  <c r="CS13" i="1" s="1"/>
  <c r="CT13" i="1" s="1"/>
  <c r="CU13" i="1" s="1"/>
  <c r="CV13" i="1" s="1"/>
  <c r="CW13" i="1" s="1"/>
  <c r="CX13" i="1" s="1"/>
  <c r="CY13" i="1" s="1"/>
  <c r="CZ13" i="1" s="1"/>
  <c r="DA13" i="1" s="1"/>
  <c r="DB13" i="1" s="1"/>
  <c r="DC13" i="1" s="1"/>
  <c r="DD13" i="1" s="1"/>
  <c r="DE13" i="1" s="1"/>
  <c r="DF13" i="1" s="1"/>
  <c r="DG13" i="1" s="1"/>
  <c r="DH13" i="1" s="1"/>
  <c r="DI13" i="1" s="1"/>
  <c r="DJ13" i="1" s="1"/>
  <c r="Q21" i="1"/>
  <c r="T22" i="1" l="1"/>
</calcChain>
</file>

<file path=xl/sharedStrings.xml><?xml version="1.0" encoding="utf-8"?>
<sst xmlns="http://schemas.openxmlformats.org/spreadsheetml/2006/main" count="395" uniqueCount="270">
  <si>
    <t>Price</t>
  </si>
  <si>
    <t>Shares</t>
  </si>
  <si>
    <t>MC</t>
  </si>
  <si>
    <t>Cash</t>
  </si>
  <si>
    <t>Debt</t>
  </si>
  <si>
    <t>EV</t>
  </si>
  <si>
    <t>Main</t>
  </si>
  <si>
    <t>Revenue</t>
  </si>
  <si>
    <t>COGS</t>
  </si>
  <si>
    <t>Gross Profit</t>
  </si>
  <si>
    <t>SG&amp;A</t>
  </si>
  <si>
    <t>R&amp;D</t>
  </si>
  <si>
    <t>Operating Expenses</t>
  </si>
  <si>
    <t>Operating Income</t>
  </si>
  <si>
    <t>Interest Income</t>
  </si>
  <si>
    <t>Pretax Income</t>
  </si>
  <si>
    <t>Tax</t>
  </si>
  <si>
    <t>Net Income</t>
  </si>
  <si>
    <t>EPS</t>
  </si>
  <si>
    <t>Revenue y/y</t>
  </si>
  <si>
    <t>SG&amp;A y/y</t>
  </si>
  <si>
    <t>Gross Margin</t>
  </si>
  <si>
    <t>Net Cash</t>
  </si>
  <si>
    <t>AP</t>
  </si>
  <si>
    <t>AR</t>
  </si>
  <si>
    <t>Name</t>
  </si>
  <si>
    <t>Indication</t>
  </si>
  <si>
    <t>MOA</t>
  </si>
  <si>
    <t>Economics</t>
  </si>
  <si>
    <t>IP</t>
  </si>
  <si>
    <t>Phase</t>
  </si>
  <si>
    <t>III</t>
  </si>
  <si>
    <t>Generic</t>
  </si>
  <si>
    <t>Brand</t>
  </si>
  <si>
    <t>Clinical Trials</t>
  </si>
  <si>
    <t>NRP2</t>
  </si>
  <si>
    <t>Preclinical</t>
  </si>
  <si>
    <t>Share w/ Kyorin</t>
  </si>
  <si>
    <t>ATYR1923 (Efzofitimod)</t>
  </si>
  <si>
    <t>ILD (sarcoidosis)</t>
  </si>
  <si>
    <t>https://pmc.ncbi.nlm.nih.gov/articles/PMC10099656/</t>
  </si>
  <si>
    <t>Efzofitimod</t>
  </si>
  <si>
    <t>Q125</t>
  </si>
  <si>
    <t>ROIC</t>
  </si>
  <si>
    <t>Maturity</t>
  </si>
  <si>
    <t>Discount</t>
  </si>
  <si>
    <t>NPV</t>
  </si>
  <si>
    <t>Share</t>
  </si>
  <si>
    <t>PP&amp;E</t>
  </si>
  <si>
    <t>P/B</t>
  </si>
  <si>
    <t>SE</t>
  </si>
  <si>
    <t>US Patient Pool</t>
  </si>
  <si>
    <t>Treated</t>
  </si>
  <si>
    <t>Approval Price</t>
  </si>
  <si>
    <t>Failure Price</t>
  </si>
  <si>
    <t>Phase II "EFZO-CONNECT"</t>
  </si>
  <si>
    <t>PK</t>
  </si>
  <si>
    <t>Phase III "EFZO-FIT"</t>
  </si>
  <si>
    <t>Pulmonary Sarcoidosis</t>
  </si>
  <si>
    <t>https://investors.atyrpharma.com/news-releases/news-release-details/atyr-pharma-announces-findings-interim-analysis-ongoing-phase-2</t>
  </si>
  <si>
    <t>https://investors.atyrpharma.com/news-releases/news-release-details/atyr-pharma-announces-fourth-positive-dsmb-review-efzofitimod</t>
  </si>
  <si>
    <t>https://investors.atyrpharma.com/news-releases/news-release-details/atyr-pharma-announces-publication-demonstrating-efzofitimods</t>
  </si>
  <si>
    <t>https://investors.atyrpharma.com/news-releases/news-release-details/atyr-pharma-announces-publication-demonstrating-efficacy</t>
  </si>
  <si>
    <t>ILD (sarcoidosis); Pulmonary Sarcoidosis</t>
  </si>
  <si>
    <t>"10-20% of patients w/ sarcoidosis are Pulmonary Sarcoidosis"</t>
  </si>
  <si>
    <t>CEO:</t>
  </si>
  <si>
    <t>Sanjay S. Shukla</t>
  </si>
  <si>
    <t>Results in Q325</t>
  </si>
  <si>
    <t>Results in Q325 for Efzofitimod</t>
  </si>
  <si>
    <t>`</t>
  </si>
  <si>
    <t>Implied Success</t>
  </si>
  <si>
    <t>Read</t>
  </si>
  <si>
    <t>Relevance</t>
  </si>
  <si>
    <t>Topic</t>
  </si>
  <si>
    <t>Title</t>
  </si>
  <si>
    <t>ATYR1923, KRP-R120</t>
  </si>
  <si>
    <t>Kyorin</t>
  </si>
  <si>
    <t>Physiochemistry</t>
  </si>
  <si>
    <t>search terms="Efzofitimod"</t>
  </si>
  <si>
    <t>search terms="ATYR1923"</t>
  </si>
  <si>
    <t>2: Konigsberg IR, Maier LA, Yang IV. Epigenetics and sarcoidosis. Eur Respir Rev. 2021 Jun 23;30(160):210076. doi: 10.1183/16000617.0076-2021. PMID: 34168064; PMCID: PMC9488730.</t>
  </si>
  <si>
    <t>4: Liao SY, Atif SM, Mould K, Konigsberg IR, Fu R, Davidson E, Li L, Fontenot AP, Maier LA, Yang IV. Single-cell RNA sequencing identifies macrophage transcriptional heterogeneities in granulomatous diseases. Eur Respir J. 2021 Jun 17;57(6):2003794. doi: 10.1183/13993003.03794-2020. PMID: 33602861; PMCID: PMC8247459.</t>
  </si>
  <si>
    <t>6: Cherabuddi MR, Goodman B, Ayyad A, Almajali DA, Nadeem O, Bradley P, Russell C, Ouellette D. Association of Area Deprivation Index with Adherence to Proposed Regimen in Patients with Sarcoidosis in Detroit, Michigan. Sarcoidosis Vasc Diffuse Lung Dis. 2024 Jun 28;41(2):e2024031. doi: 10.36141/svdld.v41i2.15587. PMID: 38940707; PMCID: PMC11275538.</t>
  </si>
  <si>
    <t>5: Vukmirovic M, Yan X, Gibson KF, Gulati M, Schupp JC, DeIuliis G, Adams TS, Hu B, Mihaljinec A, Woolard TN, Lynn H, Emeagwali N, Herzog EL, Chen ES, Morris A, Leader JK, Zhang Y, Garcia JGN, Maier LA, Collman RG, Drake WP, Becich MJ, Hochheiser H, Wisniewski SR, Benos PV, Moller DR, Prasse A, Koth LL, Kaminski N; GRADS Investigators. Transcriptomics of bronchoalveolar lavage cells identifies GRADS Investigators. Transcriptomics of bronchoalveolar lavage cells identifies new molecular endotypes of sarcoidosis. Eur Respir J. 2021 Dec 2;58(6):2002950. new molecular endotypes of sarcoidosis. Eur Respir J. 2021 Dec 2;58(6):2002950.</t>
  </si>
  <si>
    <t>12: Li L, Vestal B, Mroz MM, Liu S, MacPhail K, Griffin TJ, Yang IV, Maier LA, Bhargava M. Compartment-specific protein interactions in beryllium lung disease. ERJ Open Res. 2023 Nov 13;9(6):00138-2023. doi: 10.1183/23120541.00138-2023. PMID: 37965231; PMCID: PMC10641575.</t>
  </si>
  <si>
    <t>11: Förster S, Chong YE, Siefker D, Becker Y, Bao R, Escobedo E, Qing Y, Rauch K, Burman L, Burkart C, Kainz P, Cubitt A, Muders M, Nangle LA. Development and Characterization of a Novel Neuropilin-2 Antibody for Immunohistochemical Staining of Cancer and Sarcoidosis Tissue Samples. Monoclon Antib Immunodiagn Immunother. 2023 Oct;42(5):157-165. doi: 10.1089/mab.2023.0007. PMID: 37902990.</t>
  </si>
  <si>
    <t>10: Obi ON. Anti-inflammatory Therapy for Sarcoidosis. Clin Chest Med. 2024 Mar;45(1):131-157. doi: 10.1016/j.ccm.2023.08.010. Epub 2023 Sep 9. PMID: 38245362</t>
  </si>
  <si>
    <t>9: Obi ON, Saketkoo LA, Maier LA, Baughman RP. Developmental drugs for sarcoidosis. J Autoimmun. 2024 Dec;149:103179. doi: 10.1016/j.jaut.2024.103179. Epub 2024 Mar 28. PMID: 38548579.</t>
  </si>
  <si>
    <t>8: Bechman K, Biddle K, Miracle A, He K, Gibson M, Russell MD, Walsh S, Brex P, Patel AS, Myall KJ, Norton S, Birring SS, Galloway J. Systematic review and meta-analysis of the efficacy of biologic and targeted synthetic therapies in sarcoidosis. Thorax. 2025 May 19:thorax-2025-223014. doi: 10.1136/thorax-2025-223014. Epub ahead of print. PMID: 40393718.</t>
  </si>
  <si>
    <t>7: Nangle LA, Xu Z, Siefker D, Burkart C, Chong YE, Zhai L, Geng Y, Polizzi C, Guy L, Eide L, Tong Y, Klopp-Savino S, Ferrer M, Rauch K, Wang A, Hamel K, Crampton S, Paz S, Chiang KP, Do MH, Burman L, Lee D, Zhang M, Ogilvie K, King D, Adams RA, Schimmel P. A human histidyl-tRNA synthetase splice variant therapeutic targets NRP2 to resolve lung inflammation and fibrosis. Sci Transl Med. 2025 Mar 12;17(789):eadp4754. doi: 10.1126/scitranslmed.adp4754. Epub 2025 Mar 12. PMID: 40073151.</t>
  </si>
  <si>
    <t>6: Nunes H, Hindré R, Jeny F. New therapeutic options in sarcoidosis. Curr Opin Pulm Med. 2025 Sep 1;31(5):560-570. doi: 10.1097/MCP.0000000000001196. Epub 2025 Jul 7. PMID: 40620171.</t>
  </si>
  <si>
    <t>5: Moodley Y. Contemporary Concise Review 2023: Interstitial lung disease. Respirology. 2024 Dec;29(12):1095-1100. doi: 10.1111/resp.14848. Epub 2024 Oct 22. PMID: 39438044.</t>
  </si>
  <si>
    <t>4: Obi ON, Baughman RP, Crouser ED, Julian MW, Locke LW, Chandrasekaran A, Ramesh P, Kinnersley N, Niranjan V, Culver DA, Sporn PHS. Therapeutic doses of efzofitimod demonstrate efficacy in pulmonary sarcoidosis. ERJ Open Res. 2025 Jan 13;11(1):00536-2024. doi: 10.1183/23120541.00536-2024. PMID: 39811550; PMCID: PMC11726701.</t>
  </si>
  <si>
    <t>3: Walker G, Adams R, Guy L, Chandrasekaran A, Kinnersley N, Ramesh P, Zhang L, Brown F, Niranjan V. Exposure-response analyses of efzofitimod in patients with pulmonary sarcoidosis. Front Pharmacol. 2023 Oct 3;14:1258236. doi: 10.3389/fphar.2023.1258236. PMID: 37854715; PMCID: PMC10580085.</t>
  </si>
  <si>
    <t>2: Baughman RP, Niranjan V, Walker G, Burkart C, Paz S, Chong Y, Siefker D, Sun E, Nangle L, Forster S, Muders M, Farver C, Lower E, Shukla S, Culver DA. Efzofitimod: a novel anti-inflammatory agent for sarcoidosis. Sarcoidosis Vasc Diffuse Lung Dis. 2023 Mar 28;40(1):e2023011. doi: 10.36141/svdld.v40i1.14396. PMID: 36975051; PMCID: PMC10099656.</t>
  </si>
  <si>
    <t>1: Culver DA, Aryal S, Barney J, Hsia CCW, James WE, Maier LA, Marts LT, Obi ON, Sporn PHS, Sweiss NJ, Shukla S, Kinnersley N, Walker G, Baughman R. Efzofitimod for the Treatment of Pulmonary Sarcoidosis. Chest. 2023 Apr;163(4):881-890. doi: 10.1016/j.chest.2022.10.037. Epub 2022 Nov 8. PMID: 36356657; PMCID: PMC10258437.</t>
  </si>
  <si>
    <t>Patent</t>
  </si>
  <si>
    <t>Date</t>
  </si>
  <si>
    <t>Assignee</t>
  </si>
  <si>
    <t>Notes</t>
  </si>
  <si>
    <t>search terms="ATYR" AND "NRP2"</t>
  </si>
  <si>
    <t>US-12065495-B2</t>
  </si>
  <si>
    <t>Compositions and methods comprising anti-NRP2 antibodies</t>
  </si>
  <si>
    <t>Burman; Luke G. et al.</t>
  </si>
  <si>
    <t>US-11807687-B2</t>
  </si>
  <si>
    <t>Therapeutic compositions comprising anti-NRP2 antibodies</t>
  </si>
  <si>
    <t>Burman; Luke et al.</t>
  </si>
  <si>
    <t>US-11505610-B2</t>
  </si>
  <si>
    <t>US-10669533-B2</t>
  </si>
  <si>
    <t>Innovative discovery of therapeutic, diagnostic, and antibody compositions related to protein fragments of Histidyl-tRNA synthetases</t>
  </si>
  <si>
    <t>Greene; Leslie Ann et al.</t>
  </si>
  <si>
    <t>US-10563192-B2</t>
  </si>
  <si>
    <t>Innovative discovery of therapeutic, diagnostic, and antibody compositions related to protein fragments of threonyl-tRNA synthetases</t>
  </si>
  <si>
    <t>US-10563191-B2</t>
  </si>
  <si>
    <t>Innovative discovery of therapeutic, diagnostic, and antibody compositions related protein fragments of tryptophanyl tRNA synthetases</t>
  </si>
  <si>
    <t>US-10220080-B2</t>
  </si>
  <si>
    <t>Innovative discovery of therapeutic, diagnostic, and antibody compositions related to protein fragments of phenylalanyl-beta-tRNA synthetases</t>
  </si>
  <si>
    <t>US-10196629-B2</t>
  </si>
  <si>
    <t>Innovative discovery of therapeutic, diagnostic, and antibody compositions related to protein fragments of glycyl-tRNA synthetases</t>
  </si>
  <si>
    <t>US-10196628-B2</t>
  </si>
  <si>
    <t>Innovative discovery of therapeutic, diagnostic, and antibody compositions related to protein fragments of histidyl-tRNA synthetases</t>
  </si>
  <si>
    <t>US-10189911-B2</t>
  </si>
  <si>
    <t>Innovative discovery of therapeutic, diagnostic, and antibody compositions related to protein fragments of Valyl-tRNA synthetases</t>
  </si>
  <si>
    <t>US-10179906-B2</t>
  </si>
  <si>
    <t>Innovative discovery of therapeutic, diagnostic, and antibody compositions related to protein fragments of phenylalanyl-alpha-tRNA synthetases</t>
  </si>
  <si>
    <t>US-10179908-B2</t>
  </si>
  <si>
    <t>Innovative discovery of therapeutic, diagnostic, and antibody compositions related to protein fragments of leucyl-tRNA synthetases</t>
  </si>
  <si>
    <t>US-10160814-B2</t>
  </si>
  <si>
    <t>Innovative discovery of therapeutic, diagnostic, and antibody compositions related to protein fragments of glutamyl-prolyl-tRNA synthetases</t>
  </si>
  <si>
    <t>US-10150958-B2</t>
  </si>
  <si>
    <t>US-10030077-B2</t>
  </si>
  <si>
    <t>Innovative discovery of therapeutic, diagnostic, and antibody compositions related to protein fragments of cysteinyl-tRNA synthetase</t>
  </si>
  <si>
    <t>US-9896515-B2</t>
  </si>
  <si>
    <t>Innovative discovery of therapeutic, diagnostic, and antibody compositions related to protein fragments of isoleucyl tRNA synthetases</t>
  </si>
  <si>
    <t>US-9796972-B2</t>
  </si>
  <si>
    <t>US-9790482-B2</t>
  </si>
  <si>
    <t>US-9687533-B2</t>
  </si>
  <si>
    <t>US-9637730-B2</t>
  </si>
  <si>
    <t>US-9623093-B2</t>
  </si>
  <si>
    <t>Innovative discovery of therapeutic, diagnostic, and antibody compositions related to protein fragments of asparaginyl tRNA synthetases</t>
  </si>
  <si>
    <t>US-9593322-B2</t>
  </si>
  <si>
    <t>Innovative discovery of therapeutic, diagnostic, and antibody compositions related to protein fragments of arginyl-trna synthetases</t>
  </si>
  <si>
    <t>US-9593323-B2</t>
  </si>
  <si>
    <t>US-9580706-B2</t>
  </si>
  <si>
    <t>US-9574187-B2</t>
  </si>
  <si>
    <t>US-9556425-B2</t>
  </si>
  <si>
    <t>US-9540629-B2</t>
  </si>
  <si>
    <t>Innovative discovery of therapeutic, diagnostic, and antibody compositions related to protein fragments of Cysteinyl-tRNA synthetase</t>
  </si>
  <si>
    <t>US-9528103-B2</t>
  </si>
  <si>
    <t>US-9428743-B2</t>
  </si>
  <si>
    <t>Innovative discovery of therapeutic, diagnostic, and antibody compositions related to protein fragments of tyrosyl-trna synthetases</t>
  </si>
  <si>
    <t>US-9422538-B2</t>
  </si>
  <si>
    <t>Innovative discovery of therapeutic, diagnostic, and antibody compositions related to protein fragments of methionyl-tRNA synthetasis</t>
  </si>
  <si>
    <t>US-9422539-B2</t>
  </si>
  <si>
    <t>US-9404104-B2</t>
  </si>
  <si>
    <t>Innovative discovery of therapeutic, diagnostic, and antibody compositions related to protein fragments of P38 multi-tRNA synthetase complex</t>
  </si>
  <si>
    <t>US-9399770-B2</t>
  </si>
  <si>
    <t>Innovative discovery of therapeutic, diagnostic, and antibody compositions related to protein fragments of tryptophanyl-tRNA synthetases</t>
  </si>
  <si>
    <t>US-9347053-B2</t>
  </si>
  <si>
    <t>Innovative discovery of therapeutic, diagnostic, and antibody compositions related to protein fragments of glutaminyl-tRNA synthetases</t>
  </si>
  <si>
    <t>US-9340780-B2</t>
  </si>
  <si>
    <t>Innovative discovery of therapeutic, diagnostic, and antibody compositions related to protein fragments of seryl-tRNA synthetases</t>
  </si>
  <si>
    <t>US-9320782-B2</t>
  </si>
  <si>
    <t>Innovative discovery of therapeutic, diagnostic, and antibody compositions related to protein fragments of alanyl tRNA synthetases</t>
  </si>
  <si>
    <t>US-9322009-B2</t>
  </si>
  <si>
    <t>Innovative discovery of therapeutic, diagnostic, and antibody compositions related to protein fragments of Lysyl-tRNA synthetases</t>
  </si>
  <si>
    <t>US-9315794-B2</t>
  </si>
  <si>
    <t>Innovative discovery of therapeutic, diagnostic, and antibody compositions related to protein fragments of aspartyl-tRNA synthetases</t>
  </si>
  <si>
    <t>US-9068177-B2</t>
  </si>
  <si>
    <t>US-9062301-B2</t>
  </si>
  <si>
    <t>US-9062302-B2</t>
  </si>
  <si>
    <t>Innovative discovery of therapeutic, diagnostic, and antibody compositions related to protein fragments of p38 multi-tRNA synthetase complex</t>
  </si>
  <si>
    <t>US-9034320-B2</t>
  </si>
  <si>
    <t>US-9034321-B2</t>
  </si>
  <si>
    <t>US-9034598-B2</t>
  </si>
  <si>
    <t>US-9029506-B2</t>
  </si>
  <si>
    <t>Innovative discovery of therapeutic, diagnostic, and antibody compositions related to protein fragments of tyrosyl-tRNA synthetases</t>
  </si>
  <si>
    <t>US-8999321-B2</t>
  </si>
  <si>
    <t>US-8993723-B2</t>
  </si>
  <si>
    <t>Innovative discovery of therapeutic, diagnostic, and antibody compositions related to protein fragments of alanyl-tRNA synthetases</t>
  </si>
  <si>
    <t>US-8986681-B2</t>
  </si>
  <si>
    <t>US-8986680-B2</t>
  </si>
  <si>
    <t>Innovative discovery of therapeutic, diagnostic, and antibody compositions related to protein fragments of Asparaginyl tRNA synthetases</t>
  </si>
  <si>
    <t>US-8980253-B2</t>
  </si>
  <si>
    <t>US-8981045-B2</t>
  </si>
  <si>
    <t>Innovative discovery of therapeutic, diagnostic, and antibody compositions related to protein fragments of methionyl-tRNA synthetases</t>
  </si>
  <si>
    <t>US-8969301-B2</t>
  </si>
  <si>
    <t>US-8961960-B2</t>
  </si>
  <si>
    <t>Chiang; Kyle P. et al.</t>
  </si>
  <si>
    <t>US-8962560-B2</t>
  </si>
  <si>
    <t>US-8946157-B2</t>
  </si>
  <si>
    <t>US-8945541-B2</t>
  </si>
  <si>
    <t>US-20130315887-A1</t>
  </si>
  <si>
    <t>INNOVATIVE DISCOVERY OF THERAPEUTIC, DIAGNOSTIC, AND ANTIBODY COMPOSITIONS RELATED TO PROTEIN FRAGMENTS OF SERYL-TRNA SYNTHETASES</t>
  </si>
  <si>
    <t>US-20130287755-A1</t>
  </si>
  <si>
    <t>INNOVATIVE DISCOVERY OF THERAPEUTIC, DIAGNOSTIC, AND ANTIBODY COMPOSITIONS RELATED TO PROTEIN FRAGMENTS OF ALANYL-TRNA SYNTHETASES</t>
  </si>
  <si>
    <t>US-20130243745-A1</t>
  </si>
  <si>
    <t>INNOVATIVE DISCOVERY OF THERAPEUTIC, DIAGNOSTIC, AND ANTIBODY COMPOSITIONS RELATED TO PROTEIN FRAGMENTS OF LYSYL-TRNA SYNTHETASES</t>
  </si>
  <si>
    <t>US-20130236440-A1</t>
  </si>
  <si>
    <t>INNOVATIVE DISCOVERY OF THERAPEUTIC, DIAGNOSTIC, AND ANTIBODY COMPOSITIONS RELATED TO PROTEIN FRAGMENTS OF METHIONYL-TRNA SYNTHETASES</t>
  </si>
  <si>
    <t>US-20130230507-A1</t>
  </si>
  <si>
    <t>INNOVATIVE DISCOVERY OF THERAPEUTIC, DIAGNOSTIC, AND ANTIBODY COMPOSITIONS RELATED TO PROTEIN FRAGMENTS OF P38 MULTI-TRNA SYNTHETASE COMPLEX</t>
  </si>
  <si>
    <t>US-20130230505-A1</t>
  </si>
  <si>
    <t>INNOVATIVE DISCOVERY OF THERAPEUTIC, DIAGNOSTIC, AND ANTIBODY COMPOSITIONS RELATED TO PROTEIN FRAGMENTS OF GLUTAMINYL-TRNA SYNTHETASES</t>
  </si>
  <si>
    <t>US-20130230508-A1</t>
  </si>
  <si>
    <t>INNOVATIVE DISCOVERY OF THERAPEUTIC, DIAGNOSTIC, AND ANTIBODY COMPOSITIONS RELATED TO PROTEIN FRAGMENTS OF TYROSYL-tRNA SYNTHETASES</t>
  </si>
  <si>
    <t>US-20130224173-A1</t>
  </si>
  <si>
    <t>INNOVATIVE DISCOVERY OF THERAPEUTIC, DIAGNOSTIC, AND ANTIBODY COMPOSITIONS RELATED TO PROTEIN FRAGMENTS OF GLUTAMYL-PROLYL-TRNA SYNTHETASES</t>
  </si>
  <si>
    <t>US-20130224174-A1</t>
  </si>
  <si>
    <t>INNOVATIVE DISCOVERY OF THERAPEUTIC, DIAGNOSTIC, AND ANTIBODY COMPOSITIONS RELATED TO PROTEIN FRAGMENTS OF GLYCYL-TRNA SYNTHETASES</t>
  </si>
  <si>
    <t>US-20130209472-A1</t>
  </si>
  <si>
    <t>INNOVATIVE DISCOVERY OF THERAPEUTIC, DIAGNOSTIC, AND ANTIBODY COMPOSITIONS RELATED TO PROTEIN FRAGMENTS OF ASPARAGINYL TRNA SYNTHETASES</t>
  </si>
  <si>
    <t>US-20130209434-A1</t>
  </si>
  <si>
    <t>INNOVATIVE DISCOVERY OF THERAPEUTIC, DIAGNOSTIC, AND ANTIBODY COMPOSITIONS RELATED TO PROTEIN FRAGMENTS OF LEUCYL-TRNA SYNTHETASES</t>
  </si>
  <si>
    <t>US-20130202574-A1</t>
  </si>
  <si>
    <t>INNOVATIVE DISCOVERY OF THERAPEUTIC, DIAGNOSTIC, AND ANTIBODY COMPOSITIONS RELATED TO PROTEIN FRAGMENTS OF VALYL-TRNA SYNTHETASES</t>
  </si>
  <si>
    <t>US-20130202575-A1</t>
  </si>
  <si>
    <t>INNOVATIVE DISCOVERY OF THERAPEUTIC, DIAGNOSTIC, AND ANTIBODY COMPOSITIONS RELATED TO PROTEIN FRAGMENTS OF PHENYLALANYL-BETA-TRNA SYNTHETASES</t>
  </si>
  <si>
    <t>US-20130202576-A1</t>
  </si>
  <si>
    <t>INNOVATIVE DISCOVERY OF THERAPEUTIC, DIAGNOSTIC, AND ANTIBODY COMPOSITIONS RELATED TO PROTEIN FRAGMENTS OF HISTIDYL-TRNA SYNTHETASES</t>
  </si>
  <si>
    <t>US-20130142774-A1</t>
  </si>
  <si>
    <t>INNOVATIVE DISCOVERY OF THERAPEUTIC, DIAGNOSTIC, AND ANTIBODY COMPOSITIONS RELATED PROTEIN FRAGMENTS OF ARGINYL-TRNA SYNTHETASES</t>
  </si>
  <si>
    <t>US-20130129705-A1</t>
  </si>
  <si>
    <t>INNOVATIVE DISCOVERY OF THERAPEUTIC, DIAGNOSTIC, AND ANTIBODY COMPOSITIONS RELATED TO PROTEIN FRAGMENTS OF CYSTEINYL-tRNA SYNTHETASE</t>
  </si>
  <si>
    <t>US-20130129703-A1</t>
  </si>
  <si>
    <t>INNOVATIVE DISCOVERY OF THERAPEUTIC, DIAGNOSTIC, AND ANTIBODY COMPOSITIONS RELATED TO PROTEIN FRAGMENTS OF ISOLEUCYL TRNA SYNTHETASES</t>
  </si>
  <si>
    <t>US-20130129704-A1</t>
  </si>
  <si>
    <t>INNOVATIVE DISCOVERY OF THERAPEUTIC, DIAGNOSTIC, AND ANTIBODY COMPOSITIONS RELATED TO PROTEIN FRAGMENTS OF THREONYL-TRNA SYNTHETASES</t>
  </si>
  <si>
    <t>US-20100172921-A1</t>
  </si>
  <si>
    <t>INHIBITION OF TUMOR METASTASIS BY ANTI NEUROPILIN 2 ANTIBODIES</t>
  </si>
  <si>
    <t>Wu; Yan et al.</t>
  </si>
  <si>
    <t>search terms="anti-NRP2"</t>
  </si>
  <si>
    <t>US-20100150919-A1</t>
  </si>
  <si>
    <t>CRYSTAL STRUCTURES OF NEUROPILIN FRAGMENTS AND NEUROPILIN-ANTIBODY COMPLEXES</t>
  </si>
  <si>
    <t>Appleton; Brent A. et al.</t>
  </si>
  <si>
    <t>US-20120322989-A1</t>
  </si>
  <si>
    <t>APPLETON; Brent A. et al.</t>
  </si>
  <si>
    <t>US-8318163-B2</t>
  </si>
  <si>
    <t>Anti-pan neuropilin antibody and binding fragments thereof</t>
  </si>
  <si>
    <t>US-8466264-B2</t>
  </si>
  <si>
    <t>Crystal structures of neuropilin fragments and neuropilin-antibody complexes</t>
  </si>
  <si>
    <t>US-8648173-B2</t>
  </si>
  <si>
    <t>Inhibition of tumor metastasis by anti neuropilin 2 antibodies</t>
  </si>
  <si>
    <t>US-8920805-B2</t>
  </si>
  <si>
    <t>Inhibition of tumor metastasis by anti-neuropilin 2 antibodies</t>
  </si>
  <si>
    <t>US-20250179502-A1</t>
  </si>
  <si>
    <t>TARGETING NEUROPILIN 2 (NRP2) IN LETHAL PROSTATE CANCER</t>
  </si>
  <si>
    <t>MERCURIO; Arthur M. et al.</t>
  </si>
  <si>
    <t>Sarcoidosis</t>
  </si>
  <si>
    <t>Broader</t>
  </si>
  <si>
    <t>ILD</t>
  </si>
  <si>
    <t>Treatments</t>
  </si>
  <si>
    <t>Dhooria S, Sehgal IS, Agarwal R, Muthu V, Prasad KT, Dogra P, Debi U, Garg M, Bal A, Gupta N, Aggarwal AN. High-dose (40 mg) versus low-dose (20 mg) prednisolone for treating sarcoidosis: a randomised trial (SARCORT trial). Eur Respir J. 2023 Sep 9;62(3):2300198. doi: 10.1183/13993003.00198-2023. PMID: 37690784.</t>
  </si>
  <si>
    <t>search terms="sarcoidosis" AND Article Type="Clinical Trial"</t>
  </si>
  <si>
    <t>Phase 4</t>
  </si>
  <si>
    <t>Sakkat A, Cox G, Khalidi N, Larche M, Beattie K, Renzoni EA, Morar N, Kouranos V, Kolb M, Hambly N. Infliximab therapy in refractory sarcoidosis: a multicenter real-world analysis. Respir Res. 2022 Mar 9;23(1):54. doi: 10.1186/s12931-022-01971-5. PMID: 35264154; PMCID: PMC8905837.</t>
  </si>
  <si>
    <t>Kahlmann V, Janssen Bonás M, Moor CC, Grutters JC, Mostard RLM, van Rijswijk HNAJ, van der Maten J, Marges ER, Moonen LAA, Overbeek MJ, Koopman B, Loth DW, Nossent EJ, Wagenaar M, Kramer H, Wielders PLML, Bonta PI, Walen S, Bogaarts BAHA, Kerstens R, Overgaauw M, Veltkamp M, Wijsenbeek MS; PREDMETH Collaborators. First-Line Treatment of Pulmonary Sarcoidosis with Prednisone or Methotrexate. N Engl J Med. 2025 Jul 17;393(3):231-242. doi: 10.1056/NEJMoa2501443. Epub 2025 May 18. PMID: 40387020.</t>
  </si>
  <si>
    <t>Damsky W, Wang A, Kim DJ, Young BD, Singh K, Murphy MJ, Daccache J, Clark A, Ayasun R, Ryu C, McGeary MK, Odell ID, Fazzone-Chettiar R, Pucar D, Homer R, Gulati M, Miller EJ, Bosenberg M, Flavell RA, King B. Inhibition of type 1 immunity with tofacitinib is associated with marked improvement in longstanding sarcoidosis. Nat Commun. 2022 Jun 6;13(1):3140. doi: 10.1038/s41467-022-30615-x. PMID: 35668129; PMCID: PMC9170782.</t>
  </si>
  <si>
    <t>Redl A, Doberer K, Unterluggauer L, Kleissl L, Krall C, Mayerhofer C, Reininger B, Stary V, Zila N, Weninger W, Weichhart T, Bock C, Krausgruber T, Stary G. Efficacy and safety of mTOR inhibition in cutaneous sarcoidosis: a single-centre trial. Lancet Rheumatol. 2024 Feb;6(2):e81-e91. doi: 10.1016/S2665-9913(23)00302-8. PMID: 38267106.</t>
  </si>
  <si>
    <t>Baker MC, Horomanski A, Wang Y, Liu Y, Parsafar S, Fairchild R, Mooney JJ, Raj R, Witteles R, Genovese MC. A double-blind, placebo-controlled, randomized withdrawal trial of sarilumab for the treatment of glucocorticoid-dependent sarcoidosis. Rheumatology (Oxford). 2024 May 2;63(5):1297-1304. doi: 10.1093/rheumatology/kead373. PMID: 37471590.</t>
  </si>
  <si>
    <t>search terms="NRP2" AND Article Type="Clinical Trial"</t>
  </si>
  <si>
    <t>search terms="Neuropilin-2" AND Article Type="Clinical Trial"</t>
  </si>
  <si>
    <t>1: Ong HS, Gokavarapu S, Xu Q, Tian Z, Li J, Ji T, Zhang CP. Cytoplasmic neuropilin 2 is associated with metastasis and a poor prognosis in early tongue cancer patients. Int J Oral Maxillofac Surg. 2017 Oct;46(10):1205-1219. doi: 10.1016/j.ijom.2017.03.035. Epub 2017 Jun 9. PMID: 28602571.</t>
  </si>
  <si>
    <t>2: Rangwala F, Bendell JC, Kozloff MF, Arrowood CC, Dellinger A, Meadows J, Tourt-Uhlig S, Murphy J, Meadows KL, Starr A, Broderick S, Brady JC, Cushman SM, Morse MA, Uronis HE, Hsu SD, Zafar SY, Wallace J, Starodub AN, Strickler JH, Pang H, Nixon AB, Hurwitz HI. Phase I study of capecitabine, oxaliplatin, bevacizumab, and everolimus in advanced solid tumors. Invest New Drugs. 2014 Aug;32(4):700-9. doi: 10.1007/s10637-014-0089-2. Epub 2014 Apr 9. PMID: 24711126; PMCID: PMC4103954.</t>
  </si>
  <si>
    <t>3: Uronis HE, Bendell JC, Altomare I, Blobe GC, Hsu SD, Morse MA, Pang H, Zafar SY, Conkling P, Favaro J, Arrowood CC, Cushman SM, Meadows KL, Brady JC, Nixon AB, Hurwitz HI. A phase II study of capecitabine, oxaliplatin, and bevacizumab in the treatment of metastatic esophagogastric adenocarcinomas. Oncologist. 2013;18(3):271-2. doi: 10.1634/theoncologist.2012-0404. Epub 2013 Mar 13. PMID: 23485624; PMCID: PMC3607522.</t>
  </si>
  <si>
    <t>3: Grossmann M, Fui MNT, Nie T, Hoermann R, Clarke MV, Cheung AS, Zajac JD, Davey RA. Changes in white adipose tissue gene expression in a randomized control trial of dieting obese men with lowered serum testosterone alone or in combination with testosterone treatment. Endocrine. 2021 Aug;73(2):463-471. doi: 10.1007/s12020-021-02722-0. Epub 2021 Apr 17. PMID: 33864607.</t>
  </si>
  <si>
    <t>Prednisone, corticosteroids</t>
  </si>
  <si>
    <t>Type</t>
  </si>
  <si>
    <t>Autoimmune/Inflammatory</t>
  </si>
  <si>
    <t>Pathology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</si>
</sst>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4" fontId="0" fillId="0" borderId="0" xfId="0" applyNumberFormat="1"/>
    <xf numFmtId="3" fontId="0" fillId="0" borderId="0" xfId="0" applyNumberFormat="1"/>
    <xf numFmtId="0" fontId="2" fillId="0" borderId="0" xfId="1"/>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2" fillId="0" borderId="1" xfId="1" applyBorder="1"/>
    <xf numFmtId="9" fontId="0" fillId="0" borderId="0" xfId="0" applyNumberFormat="1"/>
    <xf numFmtId="3" fontId="2" fillId="0" borderId="0" xfId="1" applyNumberFormat="1"/>
    <xf numFmtId="3" fontId="1" fillId="0" borderId="0" xfId="0" applyNumberFormat="1" applyFont="1"/>
    <xf numFmtId="1" fontId="0" fillId="0" borderId="0" xfId="0" applyNumberFormat="1"/>
    <xf numFmtId="4" fontId="1" fillId="0" borderId="0" xfId="0" applyNumberFormat="1" applyFont="1"/>
    <xf numFmtId="0" fontId="3" fillId="0" borderId="0" xfId="0" applyFont="1"/>
    <xf numFmtId="164" fontId="0" fillId="0" borderId="0" xfId="0" applyNumberFormat="1"/>
    <xf numFmtId="14" fontId="0" fillId="0" borderId="0" xfId="0" applyNumberFormat="1"/>
    <xf numFmtId="0" fontId="2"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xdr:colOff>
      <xdr:row>0</xdr:row>
      <xdr:rowOff>36634</xdr:rowOff>
    </xdr:from>
    <xdr:to>
      <xdr:col>7</xdr:col>
      <xdr:colOff>7327</xdr:colOff>
      <xdr:row>40</xdr:row>
      <xdr:rowOff>65942</xdr:rowOff>
    </xdr:to>
    <xdr:cxnSp macro="">
      <xdr:nvCxnSpPr>
        <xdr:cNvPr id="3" name="Straight Connector 2">
          <a:extLst>
            <a:ext uri="{FF2B5EF4-FFF2-40B4-BE49-F238E27FC236}">
              <a16:creationId xmlns:a16="http://schemas.microsoft.com/office/drawing/2014/main" id="{C2C2AD97-F6F2-D47F-9CCA-EAA7A5AD8136}"/>
            </a:ext>
          </a:extLst>
        </xdr:cNvPr>
        <xdr:cNvCxnSpPr/>
      </xdr:nvCxnSpPr>
      <xdr:spPr>
        <a:xfrm>
          <a:off x="3912578" y="36634"/>
          <a:ext cx="7326" cy="63158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pmc.ncbi.nlm.nih.gov/articles/PMC10099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7250-B15D-47C9-85AE-E4EC02F4F4B5}">
  <dimension ref="B2:Q13"/>
  <sheetViews>
    <sheetView zoomScale="115" zoomScaleNormal="115" workbookViewId="0">
      <selection activeCell="C13" sqref="C13"/>
    </sheetView>
  </sheetViews>
  <sheetFormatPr defaultRowHeight="12.75" x14ac:dyDescent="0.2"/>
  <cols>
    <col min="1" max="1" width="2.42578125" customWidth="1"/>
    <col min="2" max="2" width="20.7109375" customWidth="1"/>
    <col min="3" max="3" width="15.85546875" customWidth="1"/>
    <col min="4" max="4" width="8.85546875" customWidth="1"/>
    <col min="5" max="5" width="8.42578125" customWidth="1"/>
    <col min="6" max="6" width="13.5703125" customWidth="1"/>
    <col min="7" max="7" width="10.140625" customWidth="1"/>
  </cols>
  <sheetData>
    <row r="2" spans="2:17" x14ac:dyDescent="0.2">
      <c r="B2" s="10" t="s">
        <v>25</v>
      </c>
      <c r="C2" s="11" t="s">
        <v>26</v>
      </c>
      <c r="D2" s="11" t="s">
        <v>30</v>
      </c>
      <c r="E2" s="11" t="s">
        <v>27</v>
      </c>
      <c r="F2" s="11" t="s">
        <v>28</v>
      </c>
      <c r="G2" s="12" t="s">
        <v>29</v>
      </c>
      <c r="O2" t="s">
        <v>0</v>
      </c>
      <c r="P2" s="1">
        <v>5.3</v>
      </c>
    </row>
    <row r="3" spans="2:17" x14ac:dyDescent="0.2">
      <c r="B3" s="15" t="s">
        <v>38</v>
      </c>
      <c r="C3" s="24" t="s">
        <v>39</v>
      </c>
      <c r="D3" s="13" t="s">
        <v>31</v>
      </c>
      <c r="E3" s="3" t="s">
        <v>35</v>
      </c>
      <c r="F3" t="s">
        <v>37</v>
      </c>
      <c r="G3" s="6"/>
      <c r="O3" t="s">
        <v>1</v>
      </c>
      <c r="P3" s="2">
        <f>89</f>
        <v>89</v>
      </c>
      <c r="Q3" t="s">
        <v>42</v>
      </c>
    </row>
    <row r="4" spans="2:17" x14ac:dyDescent="0.2">
      <c r="B4" s="5"/>
      <c r="D4" s="13" t="s">
        <v>36</v>
      </c>
      <c r="G4" s="6"/>
      <c r="O4" t="s">
        <v>2</v>
      </c>
      <c r="P4" s="2">
        <f>P3*P2</f>
        <v>471.7</v>
      </c>
    </row>
    <row r="5" spans="2:17" x14ac:dyDescent="0.2">
      <c r="B5" s="5"/>
      <c r="D5" s="13" t="s">
        <v>36</v>
      </c>
      <c r="G5" s="6"/>
      <c r="O5" t="s">
        <v>3</v>
      </c>
      <c r="P5" s="2">
        <f>10.36+66</f>
        <v>76.36</v>
      </c>
      <c r="Q5" t="s">
        <v>42</v>
      </c>
    </row>
    <row r="6" spans="2:17" x14ac:dyDescent="0.2">
      <c r="B6" s="7"/>
      <c r="C6" s="8"/>
      <c r="D6" s="14" t="s">
        <v>36</v>
      </c>
      <c r="E6" s="8"/>
      <c r="F6" s="8"/>
      <c r="G6" s="9"/>
      <c r="O6" t="s">
        <v>4</v>
      </c>
      <c r="P6" s="2">
        <f>10.95+0.75</f>
        <v>11.7</v>
      </c>
      <c r="Q6" t="s">
        <v>42</v>
      </c>
    </row>
    <row r="7" spans="2:17" x14ac:dyDescent="0.2">
      <c r="O7" t="s">
        <v>5</v>
      </c>
      <c r="P7" s="2">
        <f>P4+P6-P5</f>
        <v>407.03999999999996</v>
      </c>
    </row>
    <row r="9" spans="2:17" x14ac:dyDescent="0.2">
      <c r="O9" t="s">
        <v>49</v>
      </c>
      <c r="P9" s="1">
        <f>75/P3</f>
        <v>0.84269662921348309</v>
      </c>
      <c r="Q9" s="1"/>
    </row>
    <row r="10" spans="2:17" x14ac:dyDescent="0.2">
      <c r="M10" t="s">
        <v>69</v>
      </c>
    </row>
    <row r="11" spans="2:17" x14ac:dyDescent="0.2">
      <c r="O11" t="s">
        <v>65</v>
      </c>
      <c r="P11" t="s">
        <v>66</v>
      </c>
    </row>
    <row r="13" spans="2:17" x14ac:dyDescent="0.2">
      <c r="O13" t="s">
        <v>68</v>
      </c>
    </row>
  </sheetData>
  <hyperlinks>
    <hyperlink ref="B3" location="Efzofitimod!A1" display="Efzofitimod" xr:uid="{254933A8-C39D-484F-AB25-131061FFD12B}"/>
    <hyperlink ref="E3" location="'NRP2'!A1" display="NRP2" xr:uid="{6CFE78E3-7D71-4F66-9270-C7F729AABABA}"/>
    <hyperlink ref="C3" location="Sarcoidosis!A1" display="ILD (sarcoidosis)" xr:uid="{AE29D8FB-C27C-468E-9B74-B0530AE407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99FD-5113-4897-BCE2-57A3926831F4}">
  <dimension ref="A1:DJ29"/>
  <sheetViews>
    <sheetView zoomScale="130" zoomScaleNormal="130" workbookViewId="0">
      <pane xSplit="2" ySplit="2" topLeftCell="N3" activePane="bottomRight" state="frozen"/>
      <selection pane="topRight" activeCell="C1" sqref="C1"/>
      <selection pane="bottomLeft" activeCell="A3" sqref="A3"/>
      <selection pane="bottomRight" activeCell="S20" sqref="S20"/>
    </sheetView>
  </sheetViews>
  <sheetFormatPr defaultRowHeight="12.75" x14ac:dyDescent="0.2"/>
  <cols>
    <col min="1" max="1" width="5.140625" style="2" customWidth="1"/>
    <col min="2" max="2" width="17" style="2" customWidth="1"/>
    <col min="3" max="16384" width="9.140625" style="2"/>
  </cols>
  <sheetData>
    <row r="1" spans="1:114" x14ac:dyDescent="0.2">
      <c r="A1" s="17" t="s">
        <v>6</v>
      </c>
    </row>
    <row r="2" spans="1:114" x14ac:dyDescent="0.2">
      <c r="C2" s="2" t="s">
        <v>42</v>
      </c>
      <c r="E2" s="19">
        <v>2022</v>
      </c>
      <c r="F2" s="19">
        <v>2023</v>
      </c>
      <c r="G2" s="19">
        <f>F2+1</f>
        <v>2024</v>
      </c>
      <c r="H2" s="19">
        <f>G2+1</f>
        <v>2025</v>
      </c>
      <c r="I2" s="19">
        <f t="shared" ref="I2:Q2" si="0">H2+1</f>
        <v>2026</v>
      </c>
      <c r="J2" s="19">
        <f t="shared" si="0"/>
        <v>2027</v>
      </c>
      <c r="K2" s="19">
        <f t="shared" si="0"/>
        <v>2028</v>
      </c>
      <c r="L2" s="19">
        <f t="shared" si="0"/>
        <v>2029</v>
      </c>
      <c r="M2" s="19">
        <f t="shared" si="0"/>
        <v>2030</v>
      </c>
      <c r="N2" s="19">
        <f t="shared" si="0"/>
        <v>2031</v>
      </c>
      <c r="O2" s="19">
        <f t="shared" si="0"/>
        <v>2032</v>
      </c>
      <c r="P2" s="19">
        <f t="shared" si="0"/>
        <v>2033</v>
      </c>
      <c r="Q2" s="19">
        <f t="shared" si="0"/>
        <v>2034</v>
      </c>
    </row>
    <row r="3" spans="1:114" s="18" customFormat="1" x14ac:dyDescent="0.2">
      <c r="A3" s="2"/>
      <c r="B3" s="18" t="s">
        <v>7</v>
      </c>
      <c r="C3" s="18">
        <v>0</v>
      </c>
      <c r="E3" s="18">
        <v>10.39</v>
      </c>
      <c r="F3" s="18">
        <v>0.35299999999999998</v>
      </c>
      <c r="G3" s="18">
        <v>0.23499999999999999</v>
      </c>
      <c r="H3" s="18">
        <v>0</v>
      </c>
      <c r="I3" s="18">
        <v>0</v>
      </c>
      <c r="J3" s="18">
        <v>0</v>
      </c>
      <c r="K3" s="18">
        <v>0</v>
      </c>
      <c r="L3" s="18">
        <v>0</v>
      </c>
      <c r="M3" s="18">
        <v>0</v>
      </c>
      <c r="N3" s="18">
        <v>0</v>
      </c>
      <c r="O3" s="18">
        <v>0</v>
      </c>
      <c r="P3" s="18">
        <v>0</v>
      </c>
      <c r="Q3" s="18">
        <v>0</v>
      </c>
    </row>
    <row r="4" spans="1:114" x14ac:dyDescent="0.2">
      <c r="B4" s="2" t="s">
        <v>8</v>
      </c>
      <c r="C4" s="2">
        <v>0</v>
      </c>
      <c r="E4" s="2">
        <v>0</v>
      </c>
      <c r="F4" s="2">
        <v>0</v>
      </c>
      <c r="G4" s="2">
        <v>0</v>
      </c>
    </row>
    <row r="5" spans="1:114" x14ac:dyDescent="0.2">
      <c r="B5" s="2" t="s">
        <v>9</v>
      </c>
      <c r="C5" s="2">
        <f>C3-C4</f>
        <v>0</v>
      </c>
      <c r="E5" s="2">
        <f>E3-E4</f>
        <v>10.39</v>
      </c>
      <c r="F5" s="2">
        <f>F3-F4</f>
        <v>0.35299999999999998</v>
      </c>
      <c r="G5" s="2">
        <f>G3-G4</f>
        <v>0.23499999999999999</v>
      </c>
      <c r="H5" s="2">
        <f t="shared" ref="H5:Q5" si="1">H3-H4</f>
        <v>0</v>
      </c>
      <c r="I5" s="2">
        <f t="shared" si="1"/>
        <v>0</v>
      </c>
      <c r="J5" s="2">
        <f t="shared" si="1"/>
        <v>0</v>
      </c>
      <c r="K5" s="2">
        <f t="shared" si="1"/>
        <v>0</v>
      </c>
      <c r="L5" s="2">
        <f t="shared" si="1"/>
        <v>0</v>
      </c>
      <c r="M5" s="2">
        <f t="shared" si="1"/>
        <v>0</v>
      </c>
      <c r="N5" s="2">
        <f t="shared" si="1"/>
        <v>0</v>
      </c>
      <c r="O5" s="2">
        <f t="shared" si="1"/>
        <v>0</v>
      </c>
      <c r="P5" s="2">
        <f t="shared" si="1"/>
        <v>0</v>
      </c>
      <c r="Q5" s="2">
        <f t="shared" si="1"/>
        <v>0</v>
      </c>
    </row>
    <row r="6" spans="1:114" x14ac:dyDescent="0.2">
      <c r="B6" s="2" t="s">
        <v>11</v>
      </c>
      <c r="C6" s="2">
        <v>11.8</v>
      </c>
      <c r="E6" s="2">
        <v>42.8</v>
      </c>
      <c r="F6" s="2">
        <v>42.3</v>
      </c>
      <c r="G6" s="2">
        <v>54.4</v>
      </c>
    </row>
    <row r="7" spans="1:114" x14ac:dyDescent="0.2">
      <c r="B7" s="2" t="s">
        <v>10</v>
      </c>
      <c r="C7" s="2">
        <v>3.96</v>
      </c>
      <c r="E7" s="2">
        <v>13.9</v>
      </c>
      <c r="F7" s="2">
        <v>12.99</v>
      </c>
      <c r="G7" s="2">
        <v>13.8</v>
      </c>
      <c r="H7" s="2">
        <f>G7*1.01</f>
        <v>13.938000000000001</v>
      </c>
      <c r="I7" s="2">
        <f t="shared" ref="I7:Q7" si="2">H7*1.01</f>
        <v>14.077380000000002</v>
      </c>
      <c r="J7" s="2">
        <f t="shared" si="2"/>
        <v>14.218153800000001</v>
      </c>
      <c r="K7" s="2">
        <f t="shared" si="2"/>
        <v>14.360335338000002</v>
      </c>
      <c r="L7" s="2">
        <f t="shared" si="2"/>
        <v>14.503938691380002</v>
      </c>
      <c r="M7" s="2">
        <f t="shared" si="2"/>
        <v>14.648978078293801</v>
      </c>
      <c r="N7" s="2">
        <f t="shared" si="2"/>
        <v>14.795467859076739</v>
      </c>
      <c r="O7" s="2">
        <f t="shared" si="2"/>
        <v>14.943422537667507</v>
      </c>
      <c r="P7" s="2">
        <f t="shared" si="2"/>
        <v>15.092856763044182</v>
      </c>
      <c r="Q7" s="2">
        <f t="shared" si="2"/>
        <v>15.243785330674624</v>
      </c>
    </row>
    <row r="8" spans="1:114" x14ac:dyDescent="0.2">
      <c r="B8" s="2" t="s">
        <v>12</v>
      </c>
      <c r="C8" s="2">
        <f>SUM(C6:C7)</f>
        <v>15.760000000000002</v>
      </c>
      <c r="E8" s="2">
        <f>SUM(E6:E7)</f>
        <v>56.699999999999996</v>
      </c>
      <c r="F8" s="2">
        <f>SUM(F6:F7)</f>
        <v>55.29</v>
      </c>
      <c r="G8" s="2">
        <f>SUM(G6:G7)</f>
        <v>68.2</v>
      </c>
      <c r="H8" s="2">
        <f t="shared" ref="H8:Q8" si="3">SUM(H6:H7)</f>
        <v>13.938000000000001</v>
      </c>
      <c r="I8" s="2">
        <f t="shared" si="3"/>
        <v>14.077380000000002</v>
      </c>
      <c r="J8" s="2">
        <f t="shared" si="3"/>
        <v>14.218153800000001</v>
      </c>
      <c r="K8" s="2">
        <f t="shared" si="3"/>
        <v>14.360335338000002</v>
      </c>
      <c r="L8" s="2">
        <f t="shared" si="3"/>
        <v>14.503938691380002</v>
      </c>
      <c r="M8" s="2">
        <f t="shared" si="3"/>
        <v>14.648978078293801</v>
      </c>
      <c r="N8" s="2">
        <f t="shared" si="3"/>
        <v>14.795467859076739</v>
      </c>
      <c r="O8" s="2">
        <f t="shared" si="3"/>
        <v>14.943422537667507</v>
      </c>
      <c r="P8" s="2">
        <f t="shared" si="3"/>
        <v>15.092856763044182</v>
      </c>
      <c r="Q8" s="2">
        <f t="shared" si="3"/>
        <v>15.243785330674624</v>
      </c>
    </row>
    <row r="9" spans="1:114" x14ac:dyDescent="0.2">
      <c r="B9" s="2" t="s">
        <v>13</v>
      </c>
      <c r="C9" s="2">
        <f>C5-C8</f>
        <v>-15.760000000000002</v>
      </c>
      <c r="E9" s="2">
        <f>E5-E8</f>
        <v>-46.309999999999995</v>
      </c>
      <c r="F9" s="2">
        <f>F5-F8</f>
        <v>-54.936999999999998</v>
      </c>
      <c r="G9" s="2">
        <f>G5-G8</f>
        <v>-67.965000000000003</v>
      </c>
      <c r="H9" s="2">
        <f t="shared" ref="H9:Q9" si="4">H5-H8</f>
        <v>-13.938000000000001</v>
      </c>
      <c r="I9" s="2">
        <f t="shared" si="4"/>
        <v>-14.077380000000002</v>
      </c>
      <c r="J9" s="2">
        <f t="shared" si="4"/>
        <v>-14.218153800000001</v>
      </c>
      <c r="K9" s="2">
        <f t="shared" si="4"/>
        <v>-14.360335338000002</v>
      </c>
      <c r="L9" s="2">
        <f t="shared" si="4"/>
        <v>-14.503938691380002</v>
      </c>
      <c r="M9" s="2">
        <f t="shared" si="4"/>
        <v>-14.648978078293801</v>
      </c>
      <c r="N9" s="2">
        <f t="shared" si="4"/>
        <v>-14.795467859076739</v>
      </c>
      <c r="O9" s="2">
        <f t="shared" si="4"/>
        <v>-14.943422537667507</v>
      </c>
      <c r="P9" s="2">
        <f t="shared" si="4"/>
        <v>-15.092856763044182</v>
      </c>
      <c r="Q9" s="2">
        <f t="shared" si="4"/>
        <v>-15.243785330674624</v>
      </c>
    </row>
    <row r="10" spans="1:114" x14ac:dyDescent="0.2">
      <c r="B10" s="2" t="s">
        <v>14</v>
      </c>
      <c r="C10" s="2">
        <v>0.9</v>
      </c>
      <c r="E10" s="2">
        <v>1.06</v>
      </c>
      <c r="F10" s="2">
        <v>4.5</v>
      </c>
      <c r="G10" s="2">
        <v>3.9</v>
      </c>
      <c r="H10" s="2">
        <f>G21*$T$17</f>
        <v>1.1200000000000001</v>
      </c>
      <c r="I10" s="2">
        <f t="shared" ref="I10:Q10" si="5">H21*$T$17</f>
        <v>0.91491199999999995</v>
      </c>
      <c r="J10" s="2">
        <f t="shared" si="5"/>
        <v>0.70431251199999989</v>
      </c>
      <c r="K10" s="2">
        <f t="shared" si="5"/>
        <v>0.48809105139199987</v>
      </c>
      <c r="L10" s="2">
        <f t="shared" si="5"/>
        <v>0.26613514280627182</v>
      </c>
      <c r="M10" s="2">
        <f t="shared" si="5"/>
        <v>3.833028602909213E-2</v>
      </c>
      <c r="N10" s="2">
        <f t="shared" si="5"/>
        <v>-0.19544007864714322</v>
      </c>
      <c r="O10" s="2">
        <f t="shared" si="5"/>
        <v>-0.43529460565072536</v>
      </c>
      <c r="P10" s="2">
        <f t="shared" si="5"/>
        <v>-0.68135407994381714</v>
      </c>
      <c r="Q10" s="2">
        <f t="shared" si="5"/>
        <v>-0.93374145343162507</v>
      </c>
    </row>
    <row r="11" spans="1:114" x14ac:dyDescent="0.2">
      <c r="B11" s="2" t="s">
        <v>15</v>
      </c>
      <c r="C11" s="2">
        <f>C9+C10</f>
        <v>-14.860000000000001</v>
      </c>
      <c r="E11" s="2">
        <f>E9+E10</f>
        <v>-45.249999999999993</v>
      </c>
      <c r="F11" s="2">
        <f>F9+F10</f>
        <v>-50.436999999999998</v>
      </c>
      <c r="G11" s="2">
        <f>G9+G10</f>
        <v>-64.064999999999998</v>
      </c>
      <c r="H11" s="2">
        <f t="shared" ref="H11:Q11" si="6">H9+H10</f>
        <v>-12.818000000000001</v>
      </c>
      <c r="I11" s="2">
        <f t="shared" si="6"/>
        <v>-13.162468000000002</v>
      </c>
      <c r="J11" s="2">
        <f t="shared" si="6"/>
        <v>-13.513841288000002</v>
      </c>
      <c r="K11" s="2">
        <f t="shared" si="6"/>
        <v>-13.872244286608002</v>
      </c>
      <c r="L11" s="2">
        <f t="shared" si="6"/>
        <v>-14.23780354857373</v>
      </c>
      <c r="M11" s="2">
        <f t="shared" si="6"/>
        <v>-14.610647792264709</v>
      </c>
      <c r="N11" s="2">
        <f t="shared" si="6"/>
        <v>-14.990907937723883</v>
      </c>
      <c r="O11" s="2">
        <f t="shared" si="6"/>
        <v>-15.378717143318232</v>
      </c>
      <c r="P11" s="2">
        <f t="shared" si="6"/>
        <v>-15.774210842987999</v>
      </c>
      <c r="Q11" s="2">
        <f t="shared" si="6"/>
        <v>-16.177526784106249</v>
      </c>
    </row>
    <row r="12" spans="1:114" x14ac:dyDescent="0.2">
      <c r="B12" s="2" t="s">
        <v>16</v>
      </c>
      <c r="C12" s="2">
        <v>0</v>
      </c>
      <c r="E12" s="2">
        <v>0</v>
      </c>
      <c r="F12" s="2">
        <v>0</v>
      </c>
      <c r="G12" s="2">
        <v>0</v>
      </c>
      <c r="H12" s="2">
        <f>H11*0.2</f>
        <v>-2.5636000000000005</v>
      </c>
      <c r="I12" s="2">
        <f t="shared" ref="I12:Q12" si="7">I11*0.2</f>
        <v>-2.6324936000000005</v>
      </c>
      <c r="J12" s="2">
        <f t="shared" si="7"/>
        <v>-2.7027682576000007</v>
      </c>
      <c r="K12" s="2">
        <f t="shared" si="7"/>
        <v>-2.7744488573216004</v>
      </c>
      <c r="L12" s="2">
        <f t="shared" si="7"/>
        <v>-2.8475607097147462</v>
      </c>
      <c r="M12" s="2">
        <f t="shared" si="7"/>
        <v>-2.9221295584529421</v>
      </c>
      <c r="N12" s="2">
        <f t="shared" si="7"/>
        <v>-2.9981815875447766</v>
      </c>
      <c r="O12" s="2">
        <f t="shared" si="7"/>
        <v>-3.0757434286636465</v>
      </c>
      <c r="P12" s="2">
        <f t="shared" si="7"/>
        <v>-3.1548421685976002</v>
      </c>
      <c r="Q12" s="2">
        <f t="shared" si="7"/>
        <v>-3.2355053568212497</v>
      </c>
    </row>
    <row r="13" spans="1:114" x14ac:dyDescent="0.2">
      <c r="B13" s="2" t="s">
        <v>17</v>
      </c>
      <c r="C13" s="2">
        <f>C11-C12</f>
        <v>-14.860000000000001</v>
      </c>
      <c r="E13" s="2">
        <f>E11-E12</f>
        <v>-45.249999999999993</v>
      </c>
      <c r="F13" s="2">
        <f>F11-F12</f>
        <v>-50.436999999999998</v>
      </c>
      <c r="G13" s="2">
        <f>G11-G12</f>
        <v>-64.064999999999998</v>
      </c>
      <c r="H13" s="2">
        <f t="shared" ref="H13:Q13" si="8">H11-H12</f>
        <v>-10.2544</v>
      </c>
      <c r="I13" s="2">
        <f t="shared" si="8"/>
        <v>-10.529974400000002</v>
      </c>
      <c r="J13" s="2">
        <f t="shared" si="8"/>
        <v>-10.811073030400001</v>
      </c>
      <c r="K13" s="2">
        <f t="shared" si="8"/>
        <v>-11.097795429286402</v>
      </c>
      <c r="L13" s="2">
        <f t="shared" si="8"/>
        <v>-11.390242838858985</v>
      </c>
      <c r="M13" s="2">
        <f t="shared" si="8"/>
        <v>-11.688518233811767</v>
      </c>
      <c r="N13" s="2">
        <f t="shared" si="8"/>
        <v>-11.992726350179106</v>
      </c>
      <c r="O13" s="2">
        <f t="shared" si="8"/>
        <v>-12.302973714654586</v>
      </c>
      <c r="P13" s="2">
        <f t="shared" si="8"/>
        <v>-12.619368674390399</v>
      </c>
      <c r="Q13" s="2">
        <f t="shared" si="8"/>
        <v>-12.942021427284999</v>
      </c>
      <c r="R13" s="2">
        <f>Q13*(1+$T$18)</f>
        <v>-12.812601213012149</v>
      </c>
      <c r="S13" s="2">
        <f t="shared" ref="S13:CD13" si="9">R13*(1+$T$18)</f>
        <v>-12.684475200882028</v>
      </c>
      <c r="T13" s="2">
        <f t="shared" si="9"/>
        <v>-12.557630448873208</v>
      </c>
      <c r="U13" s="2">
        <f t="shared" si="9"/>
        <v>-12.432054144384477</v>
      </c>
      <c r="V13" s="2">
        <f t="shared" si="9"/>
        <v>-12.307733602940631</v>
      </c>
      <c r="W13" s="2">
        <f t="shared" si="9"/>
        <v>-12.184656266911224</v>
      </c>
      <c r="X13" s="2">
        <f t="shared" si="9"/>
        <v>-12.062809704242111</v>
      </c>
      <c r="Y13" s="2">
        <f t="shared" si="9"/>
        <v>-11.942181607199689</v>
      </c>
      <c r="Z13" s="2">
        <f t="shared" si="9"/>
        <v>-11.822759791127693</v>
      </c>
      <c r="AA13" s="2">
        <f t="shared" si="9"/>
        <v>-11.704532193216416</v>
      </c>
      <c r="AB13" s="2">
        <f t="shared" si="9"/>
        <v>-11.587486871284252</v>
      </c>
      <c r="AC13" s="2">
        <f t="shared" si="9"/>
        <v>-11.47161200257141</v>
      </c>
      <c r="AD13" s="2">
        <f t="shared" si="9"/>
        <v>-11.356895882545697</v>
      </c>
      <c r="AE13" s="2">
        <f t="shared" si="9"/>
        <v>-11.24332692372024</v>
      </c>
      <c r="AF13" s="2">
        <f t="shared" si="9"/>
        <v>-11.130893654483037</v>
      </c>
      <c r="AG13" s="2">
        <f t="shared" si="9"/>
        <v>-11.019584717938207</v>
      </c>
      <c r="AH13" s="2">
        <f t="shared" si="9"/>
        <v>-10.909388870758825</v>
      </c>
      <c r="AI13" s="2">
        <f t="shared" si="9"/>
        <v>-10.800294982051236</v>
      </c>
      <c r="AJ13" s="2">
        <f t="shared" si="9"/>
        <v>-10.692292032230723</v>
      </c>
      <c r="AK13" s="2">
        <f t="shared" si="9"/>
        <v>-10.585369111908415</v>
      </c>
      <c r="AL13" s="2">
        <f t="shared" si="9"/>
        <v>-10.479515420789332</v>
      </c>
      <c r="AM13" s="2">
        <f t="shared" si="9"/>
        <v>-10.374720266581438</v>
      </c>
      <c r="AN13" s="2">
        <f t="shared" si="9"/>
        <v>-10.270973063915623</v>
      </c>
      <c r="AO13" s="2">
        <f t="shared" si="9"/>
        <v>-10.168263333276466</v>
      </c>
      <c r="AP13" s="2">
        <f t="shared" si="9"/>
        <v>-10.066580699943701</v>
      </c>
      <c r="AQ13" s="2">
        <f t="shared" si="9"/>
        <v>-9.965914892944264</v>
      </c>
      <c r="AR13" s="2">
        <f t="shared" si="9"/>
        <v>-9.866255744014822</v>
      </c>
      <c r="AS13" s="2">
        <f t="shared" si="9"/>
        <v>-9.7675931865746737</v>
      </c>
      <c r="AT13" s="2">
        <f t="shared" si="9"/>
        <v>-9.6699172547089276</v>
      </c>
      <c r="AU13" s="2">
        <f t="shared" si="9"/>
        <v>-9.5732180821618389</v>
      </c>
      <c r="AV13" s="2">
        <f t="shared" si="9"/>
        <v>-9.47748590134022</v>
      </c>
      <c r="AW13" s="2">
        <f t="shared" si="9"/>
        <v>-9.3827110423268181</v>
      </c>
      <c r="AX13" s="2">
        <f t="shared" si="9"/>
        <v>-9.2888839319035501</v>
      </c>
      <c r="AY13" s="2">
        <f t="shared" si="9"/>
        <v>-9.1959950925845142</v>
      </c>
      <c r="AZ13" s="2">
        <f t="shared" si="9"/>
        <v>-9.1040351416586685</v>
      </c>
      <c r="BA13" s="2">
        <f t="shared" si="9"/>
        <v>-9.0129947902420824</v>
      </c>
      <c r="BB13" s="2">
        <f t="shared" si="9"/>
        <v>-8.9228648423396617</v>
      </c>
      <c r="BC13" s="2">
        <f t="shared" si="9"/>
        <v>-8.8336361939162646</v>
      </c>
      <c r="BD13" s="2">
        <f t="shared" si="9"/>
        <v>-8.7452998319771016</v>
      </c>
      <c r="BE13" s="2">
        <f t="shared" si="9"/>
        <v>-8.6578468336573309</v>
      </c>
      <c r="BF13" s="2">
        <f t="shared" si="9"/>
        <v>-8.5712683653207566</v>
      </c>
      <c r="BG13" s="2">
        <f t="shared" si="9"/>
        <v>-8.4855556816675488</v>
      </c>
      <c r="BH13" s="2">
        <f t="shared" si="9"/>
        <v>-8.4007001248508733</v>
      </c>
      <c r="BI13" s="2">
        <f t="shared" si="9"/>
        <v>-8.3166931236023647</v>
      </c>
      <c r="BJ13" s="2">
        <f t="shared" si="9"/>
        <v>-8.233526192366341</v>
      </c>
      <c r="BK13" s="2">
        <f t="shared" si="9"/>
        <v>-8.1511909304426773</v>
      </c>
      <c r="BL13" s="2">
        <f t="shared" si="9"/>
        <v>-8.069679021138251</v>
      </c>
      <c r="BM13" s="2">
        <f t="shared" si="9"/>
        <v>-7.9889822309268688</v>
      </c>
      <c r="BN13" s="2">
        <f t="shared" si="9"/>
        <v>-7.9090924086176004</v>
      </c>
      <c r="BO13" s="2">
        <f t="shared" si="9"/>
        <v>-7.8300014845314241</v>
      </c>
      <c r="BP13" s="2">
        <f t="shared" si="9"/>
        <v>-7.7517014696861102</v>
      </c>
      <c r="BQ13" s="2">
        <f t="shared" si="9"/>
        <v>-7.6741844549892493</v>
      </c>
      <c r="BR13" s="2">
        <f t="shared" si="9"/>
        <v>-7.5974426104393569</v>
      </c>
      <c r="BS13" s="2">
        <f t="shared" si="9"/>
        <v>-7.5214681843349629</v>
      </c>
      <c r="BT13" s="2">
        <f t="shared" si="9"/>
        <v>-7.4462535024916132</v>
      </c>
      <c r="BU13" s="2">
        <f t="shared" si="9"/>
        <v>-7.3717909674666968</v>
      </c>
      <c r="BV13" s="2">
        <f t="shared" si="9"/>
        <v>-7.2980730577920294</v>
      </c>
      <c r="BW13" s="2">
        <f t="shared" si="9"/>
        <v>-7.2250923272141092</v>
      </c>
      <c r="BX13" s="2">
        <f t="shared" si="9"/>
        <v>-7.1528414039419683</v>
      </c>
      <c r="BY13" s="2">
        <f t="shared" si="9"/>
        <v>-7.0813129899025489</v>
      </c>
      <c r="BZ13" s="2">
        <f t="shared" si="9"/>
        <v>-7.0104998600035229</v>
      </c>
      <c r="CA13" s="2">
        <f t="shared" si="9"/>
        <v>-6.9403948614034876</v>
      </c>
      <c r="CB13" s="2">
        <f t="shared" si="9"/>
        <v>-6.8709909127894528</v>
      </c>
      <c r="CC13" s="2">
        <f t="shared" si="9"/>
        <v>-6.802281003661558</v>
      </c>
      <c r="CD13" s="2">
        <f t="shared" si="9"/>
        <v>-6.7342581936249424</v>
      </c>
      <c r="CE13" s="2">
        <f t="shared" ref="CE13:DJ13" si="10">CD13*(1+$T$18)</f>
        <v>-6.666915611688693</v>
      </c>
      <c r="CF13" s="2">
        <f t="shared" si="10"/>
        <v>-6.6002464555718063</v>
      </c>
      <c r="CG13" s="2">
        <f t="shared" si="10"/>
        <v>-6.5342439910160879</v>
      </c>
      <c r="CH13" s="2">
        <f t="shared" si="10"/>
        <v>-6.4689015511059269</v>
      </c>
      <c r="CI13" s="2">
        <f t="shared" si="10"/>
        <v>-6.4042125355948674</v>
      </c>
      <c r="CJ13" s="2">
        <f t="shared" si="10"/>
        <v>-6.3401704102389189</v>
      </c>
      <c r="CK13" s="2">
        <f t="shared" si="10"/>
        <v>-6.2767687061365294</v>
      </c>
      <c r="CL13" s="2">
        <f t="shared" si="10"/>
        <v>-6.2140010190751642</v>
      </c>
      <c r="CM13" s="2">
        <f t="shared" si="10"/>
        <v>-6.1518610088844126</v>
      </c>
      <c r="CN13" s="2">
        <f t="shared" si="10"/>
        <v>-6.0903423987955687</v>
      </c>
      <c r="CO13" s="2">
        <f t="shared" si="10"/>
        <v>-6.0294389748076131</v>
      </c>
      <c r="CP13" s="2">
        <f t="shared" si="10"/>
        <v>-5.9691445850595368</v>
      </c>
      <c r="CQ13" s="2">
        <f t="shared" si="10"/>
        <v>-5.9094531392089413</v>
      </c>
      <c r="CR13" s="2">
        <f t="shared" si="10"/>
        <v>-5.8503586078168519</v>
      </c>
      <c r="CS13" s="2">
        <f t="shared" si="10"/>
        <v>-5.7918550217386837</v>
      </c>
      <c r="CT13" s="2">
        <f t="shared" si="10"/>
        <v>-5.7339364715212966</v>
      </c>
      <c r="CU13" s="2">
        <f t="shared" si="10"/>
        <v>-5.6765971068060832</v>
      </c>
      <c r="CV13" s="2">
        <f t="shared" si="10"/>
        <v>-5.6198311357380222</v>
      </c>
      <c r="CW13" s="2">
        <f t="shared" si="10"/>
        <v>-5.5636328243806421</v>
      </c>
      <c r="CX13" s="2">
        <f t="shared" si="10"/>
        <v>-5.507996496136836</v>
      </c>
      <c r="CY13" s="2">
        <f t="shared" si="10"/>
        <v>-5.4529165311754673</v>
      </c>
      <c r="CZ13" s="2">
        <f t="shared" si="10"/>
        <v>-5.3983873658637123</v>
      </c>
      <c r="DA13" s="2">
        <f t="shared" si="10"/>
        <v>-5.3444034922050747</v>
      </c>
      <c r="DB13" s="2">
        <f t="shared" si="10"/>
        <v>-5.2909594572830239</v>
      </c>
      <c r="DC13" s="2">
        <f t="shared" si="10"/>
        <v>-5.2380498627101932</v>
      </c>
      <c r="DD13" s="2">
        <f t="shared" si="10"/>
        <v>-5.1856693640830915</v>
      </c>
      <c r="DE13" s="2">
        <f t="shared" si="10"/>
        <v>-5.1338126704422606</v>
      </c>
      <c r="DF13" s="2">
        <f t="shared" si="10"/>
        <v>-5.0824745437378382</v>
      </c>
      <c r="DG13" s="2">
        <f t="shared" si="10"/>
        <v>-5.0316497983004602</v>
      </c>
      <c r="DH13" s="2">
        <f t="shared" si="10"/>
        <v>-4.9813333003174556</v>
      </c>
      <c r="DI13" s="2">
        <f t="shared" si="10"/>
        <v>-4.9315199673142809</v>
      </c>
      <c r="DJ13" s="2">
        <f t="shared" si="10"/>
        <v>-4.882204767641138</v>
      </c>
    </row>
    <row r="14" spans="1:114" x14ac:dyDescent="0.2">
      <c r="B14" s="2" t="s">
        <v>1</v>
      </c>
      <c r="E14" s="2">
        <v>28.42</v>
      </c>
      <c r="F14" s="2">
        <v>53.6</v>
      </c>
      <c r="G14" s="2">
        <v>74.260000000000005</v>
      </c>
    </row>
    <row r="15" spans="1:114" x14ac:dyDescent="0.2">
      <c r="B15" s="2" t="s">
        <v>18</v>
      </c>
      <c r="E15" s="1">
        <f>E13/E14</f>
        <v>-1.5921885995777618</v>
      </c>
      <c r="F15" s="1">
        <f t="shared" ref="F15:G15" si="11">F13/F14</f>
        <v>-0.94098880597014922</v>
      </c>
      <c r="G15" s="1">
        <f t="shared" si="11"/>
        <v>-0.86271209264745485</v>
      </c>
    </row>
    <row r="17" spans="2:20" x14ac:dyDescent="0.2">
      <c r="B17" s="2" t="s">
        <v>19</v>
      </c>
      <c r="S17" s="2" t="s">
        <v>43</v>
      </c>
      <c r="T17" s="16">
        <v>0.02</v>
      </c>
    </row>
    <row r="18" spans="2:20" x14ac:dyDescent="0.2">
      <c r="B18" s="2" t="s">
        <v>21</v>
      </c>
      <c r="S18" s="2" t="s">
        <v>44</v>
      </c>
      <c r="T18" s="16">
        <v>-0.01</v>
      </c>
    </row>
    <row r="19" spans="2:20" x14ac:dyDescent="0.2">
      <c r="B19" s="2" t="s">
        <v>20</v>
      </c>
      <c r="F19" s="16">
        <f>F7/E7-1</f>
        <v>-6.5467625899280568E-2</v>
      </c>
      <c r="G19" s="16">
        <f>G7/F7-1</f>
        <v>6.2355658198614439E-2</v>
      </c>
      <c r="S19" s="2" t="s">
        <v>45</v>
      </c>
      <c r="T19" s="16">
        <v>0.09</v>
      </c>
    </row>
    <row r="20" spans="2:20" x14ac:dyDescent="0.2">
      <c r="S20" s="2" t="s">
        <v>46</v>
      </c>
      <c r="T20" s="2">
        <f>NPV(T19,H13:XFD13)+Main!P5-Main!P6</f>
        <v>-62.322090470002408</v>
      </c>
    </row>
    <row r="21" spans="2:20" x14ac:dyDescent="0.2">
      <c r="B21" s="2" t="s">
        <v>22</v>
      </c>
      <c r="C21" s="2">
        <f>72-16</f>
        <v>56</v>
      </c>
      <c r="G21" s="2">
        <v>56</v>
      </c>
      <c r="H21" s="2">
        <f>G21+H13</f>
        <v>45.745599999999996</v>
      </c>
      <c r="I21" s="2">
        <f t="shared" ref="I21:Q21" si="12">H21+I13</f>
        <v>35.215625599999996</v>
      </c>
      <c r="J21" s="2">
        <f t="shared" si="12"/>
        <v>24.404552569599993</v>
      </c>
      <c r="K21" s="2">
        <f t="shared" si="12"/>
        <v>13.306757140313591</v>
      </c>
      <c r="L21" s="2">
        <f t="shared" si="12"/>
        <v>1.9165143014546064</v>
      </c>
      <c r="M21" s="2">
        <f t="shared" si="12"/>
        <v>-9.7720039323571601</v>
      </c>
      <c r="N21" s="2">
        <f t="shared" si="12"/>
        <v>-21.764730282536267</v>
      </c>
      <c r="O21" s="2">
        <f t="shared" si="12"/>
        <v>-34.067703997190854</v>
      </c>
      <c r="P21" s="2">
        <f t="shared" si="12"/>
        <v>-46.687072671581255</v>
      </c>
      <c r="Q21" s="2">
        <f t="shared" si="12"/>
        <v>-59.629094098866254</v>
      </c>
      <c r="S21" s="2" t="s">
        <v>47</v>
      </c>
      <c r="T21" s="1">
        <f>T20/Main!P3</f>
        <v>-0.70024820752811689</v>
      </c>
    </row>
    <row r="22" spans="2:20" x14ac:dyDescent="0.2">
      <c r="B22" s="2" t="s">
        <v>3</v>
      </c>
      <c r="T22" s="16">
        <f>T21/Main!P2-1</f>
        <v>-1.1321223033071919</v>
      </c>
    </row>
    <row r="23" spans="2:20" x14ac:dyDescent="0.2">
      <c r="B23" s="2" t="s">
        <v>23</v>
      </c>
    </row>
    <row r="24" spans="2:20" x14ac:dyDescent="0.2">
      <c r="B24" s="2" t="s">
        <v>48</v>
      </c>
      <c r="C24" s="2">
        <v>4.6829999999999998</v>
      </c>
    </row>
    <row r="26" spans="2:20" x14ac:dyDescent="0.2">
      <c r="B26" s="2" t="s">
        <v>24</v>
      </c>
    </row>
    <row r="27" spans="2:20" x14ac:dyDescent="0.2">
      <c r="B27" s="2" t="s">
        <v>4</v>
      </c>
    </row>
    <row r="29" spans="2:20" x14ac:dyDescent="0.2">
      <c r="B29" s="2" t="s">
        <v>50</v>
      </c>
      <c r="C29" s="2">
        <v>75</v>
      </c>
    </row>
  </sheetData>
  <hyperlinks>
    <hyperlink ref="A1" location="Main!A1" display="Main" xr:uid="{BA088288-A210-4F44-B166-7C8F856960B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8F51-8600-4D3E-A4DB-1E3A50993309}">
  <dimension ref="A1:F87"/>
  <sheetViews>
    <sheetView zoomScale="130" zoomScaleNormal="130" workbookViewId="0">
      <pane xSplit="2" ySplit="2" topLeftCell="C72" activePane="bottomRight" state="frozen"/>
      <selection pane="topRight" activeCell="C1" sqref="C1"/>
      <selection pane="bottomLeft" activeCell="A3" sqref="A3"/>
      <selection pane="bottomRight" activeCell="C90" sqref="C90"/>
    </sheetView>
  </sheetViews>
  <sheetFormatPr defaultRowHeight="12.75" x14ac:dyDescent="0.2"/>
  <cols>
    <col min="1" max="1" width="5" bestFit="1" customWidth="1"/>
    <col min="2" max="2" width="18.85546875" bestFit="1" customWidth="1"/>
    <col min="3" max="3" width="22" bestFit="1" customWidth="1"/>
    <col min="5" max="5" width="10.5703125" bestFit="1" customWidth="1"/>
  </cols>
  <sheetData>
    <row r="1" spans="1:6" x14ac:dyDescent="0.2">
      <c r="A1" s="3" t="s">
        <v>6</v>
      </c>
    </row>
    <row r="2" spans="1:6" x14ac:dyDescent="0.2">
      <c r="A2" s="3"/>
      <c r="B2" t="s">
        <v>96</v>
      </c>
      <c r="C2" t="s">
        <v>98</v>
      </c>
      <c r="D2" t="s">
        <v>99</v>
      </c>
      <c r="E2" t="s">
        <v>97</v>
      </c>
      <c r="F2" t="s">
        <v>74</v>
      </c>
    </row>
    <row r="3" spans="1:6" x14ac:dyDescent="0.2">
      <c r="F3" t="s">
        <v>100</v>
      </c>
    </row>
    <row r="4" spans="1:6" x14ac:dyDescent="0.2">
      <c r="B4" t="s">
        <v>101</v>
      </c>
      <c r="C4" t="s">
        <v>103</v>
      </c>
      <c r="E4" s="23">
        <v>45524</v>
      </c>
      <c r="F4" t="s">
        <v>102</v>
      </c>
    </row>
    <row r="5" spans="1:6" x14ac:dyDescent="0.2">
      <c r="B5" t="s">
        <v>104</v>
      </c>
      <c r="C5" t="s">
        <v>106</v>
      </c>
      <c r="E5" s="23">
        <v>45237</v>
      </c>
      <c r="F5" t="s">
        <v>105</v>
      </c>
    </row>
    <row r="6" spans="1:6" x14ac:dyDescent="0.2">
      <c r="B6" t="s">
        <v>107</v>
      </c>
      <c r="C6" t="s">
        <v>106</v>
      </c>
      <c r="E6" s="23">
        <v>44887</v>
      </c>
      <c r="F6" t="s">
        <v>102</v>
      </c>
    </row>
    <row r="7" spans="1:6" x14ac:dyDescent="0.2">
      <c r="B7" t="s">
        <v>108</v>
      </c>
      <c r="C7" t="s">
        <v>110</v>
      </c>
      <c r="E7" s="23">
        <v>43984</v>
      </c>
      <c r="F7" t="s">
        <v>109</v>
      </c>
    </row>
    <row r="8" spans="1:6" x14ac:dyDescent="0.2">
      <c r="B8" t="s">
        <v>111</v>
      </c>
      <c r="C8" t="s">
        <v>110</v>
      </c>
      <c r="E8" s="23">
        <v>43879</v>
      </c>
      <c r="F8" t="s">
        <v>112</v>
      </c>
    </row>
    <row r="9" spans="1:6" x14ac:dyDescent="0.2">
      <c r="B9" t="s">
        <v>113</v>
      </c>
      <c r="C9" t="s">
        <v>110</v>
      </c>
      <c r="E9" s="23">
        <v>43879</v>
      </c>
      <c r="F9" t="s">
        <v>114</v>
      </c>
    </row>
    <row r="10" spans="1:6" x14ac:dyDescent="0.2">
      <c r="B10" t="s">
        <v>115</v>
      </c>
      <c r="C10" t="s">
        <v>110</v>
      </c>
      <c r="E10" s="23">
        <v>43529</v>
      </c>
      <c r="F10" t="s">
        <v>116</v>
      </c>
    </row>
    <row r="11" spans="1:6" x14ac:dyDescent="0.2">
      <c r="B11" t="s">
        <v>117</v>
      </c>
      <c r="C11" t="s">
        <v>110</v>
      </c>
      <c r="E11" s="23">
        <v>43501</v>
      </c>
      <c r="F11" t="s">
        <v>118</v>
      </c>
    </row>
    <row r="12" spans="1:6" x14ac:dyDescent="0.2">
      <c r="B12" t="s">
        <v>119</v>
      </c>
      <c r="C12" t="s">
        <v>110</v>
      </c>
      <c r="E12" s="23">
        <v>43501</v>
      </c>
      <c r="F12" t="s">
        <v>120</v>
      </c>
    </row>
    <row r="13" spans="1:6" x14ac:dyDescent="0.2">
      <c r="B13" t="s">
        <v>121</v>
      </c>
      <c r="C13" t="s">
        <v>110</v>
      </c>
      <c r="E13" s="23">
        <v>43494</v>
      </c>
      <c r="F13" t="s">
        <v>122</v>
      </c>
    </row>
    <row r="14" spans="1:6" x14ac:dyDescent="0.2">
      <c r="B14" t="s">
        <v>123</v>
      </c>
      <c r="C14" t="s">
        <v>110</v>
      </c>
      <c r="E14" s="23">
        <v>43480</v>
      </c>
      <c r="F14" t="s">
        <v>124</v>
      </c>
    </row>
    <row r="15" spans="1:6" x14ac:dyDescent="0.2">
      <c r="B15" t="s">
        <v>125</v>
      </c>
      <c r="C15" t="s">
        <v>110</v>
      </c>
      <c r="E15" s="23">
        <v>43480</v>
      </c>
      <c r="F15" t="s">
        <v>126</v>
      </c>
    </row>
    <row r="16" spans="1:6" x14ac:dyDescent="0.2">
      <c r="B16" t="s">
        <v>127</v>
      </c>
      <c r="C16" t="s">
        <v>110</v>
      </c>
      <c r="E16" s="23">
        <v>43459</v>
      </c>
      <c r="F16" t="s">
        <v>128</v>
      </c>
    </row>
    <row r="17" spans="2:6" x14ac:dyDescent="0.2">
      <c r="B17" t="s">
        <v>129</v>
      </c>
      <c r="C17" t="s">
        <v>110</v>
      </c>
      <c r="E17" s="23">
        <v>43445</v>
      </c>
      <c r="F17" t="s">
        <v>112</v>
      </c>
    </row>
    <row r="18" spans="2:6" x14ac:dyDescent="0.2">
      <c r="B18" t="s">
        <v>130</v>
      </c>
      <c r="C18" t="s">
        <v>110</v>
      </c>
      <c r="E18" s="23">
        <v>43305</v>
      </c>
      <c r="F18" t="s">
        <v>131</v>
      </c>
    </row>
    <row r="19" spans="2:6" x14ac:dyDescent="0.2">
      <c r="B19" t="s">
        <v>132</v>
      </c>
      <c r="C19" t="s">
        <v>110</v>
      </c>
      <c r="E19" s="23">
        <v>43151</v>
      </c>
      <c r="F19" t="s">
        <v>133</v>
      </c>
    </row>
    <row r="20" spans="2:6" x14ac:dyDescent="0.2">
      <c r="B20" t="s">
        <v>134</v>
      </c>
      <c r="C20" t="s">
        <v>110</v>
      </c>
      <c r="E20" s="23">
        <v>43032</v>
      </c>
      <c r="F20" t="s">
        <v>118</v>
      </c>
    </row>
    <row r="21" spans="2:6" x14ac:dyDescent="0.2">
      <c r="B21" t="s">
        <v>135</v>
      </c>
      <c r="C21" t="s">
        <v>110</v>
      </c>
      <c r="E21" s="23">
        <v>43025</v>
      </c>
      <c r="F21" t="s">
        <v>126</v>
      </c>
    </row>
    <row r="22" spans="2:6" x14ac:dyDescent="0.2">
      <c r="B22" t="s">
        <v>136</v>
      </c>
      <c r="C22" t="s">
        <v>110</v>
      </c>
      <c r="E22" s="23">
        <v>42913</v>
      </c>
      <c r="F22" t="s">
        <v>116</v>
      </c>
    </row>
    <row r="23" spans="2:6" x14ac:dyDescent="0.2">
      <c r="B23" t="s">
        <v>137</v>
      </c>
      <c r="C23" t="s">
        <v>110</v>
      </c>
      <c r="E23" s="23">
        <v>42857</v>
      </c>
      <c r="F23" t="s">
        <v>120</v>
      </c>
    </row>
    <row r="24" spans="2:6" x14ac:dyDescent="0.2">
      <c r="B24" t="s">
        <v>138</v>
      </c>
      <c r="C24" t="s">
        <v>110</v>
      </c>
      <c r="E24" s="23">
        <v>42843</v>
      </c>
      <c r="F24" t="s">
        <v>139</v>
      </c>
    </row>
    <row r="25" spans="2:6" x14ac:dyDescent="0.2">
      <c r="B25" t="s">
        <v>140</v>
      </c>
      <c r="C25" t="s">
        <v>110</v>
      </c>
      <c r="E25" s="23">
        <v>42808</v>
      </c>
      <c r="F25" t="s">
        <v>141</v>
      </c>
    </row>
    <row r="26" spans="2:6" x14ac:dyDescent="0.2">
      <c r="B26" t="s">
        <v>142</v>
      </c>
      <c r="C26" t="s">
        <v>110</v>
      </c>
      <c r="E26" s="23">
        <v>42808</v>
      </c>
      <c r="F26" t="s">
        <v>124</v>
      </c>
    </row>
    <row r="27" spans="2:6" x14ac:dyDescent="0.2">
      <c r="B27" t="s">
        <v>143</v>
      </c>
      <c r="C27" t="s">
        <v>110</v>
      </c>
      <c r="E27" s="23">
        <v>42794</v>
      </c>
      <c r="F27" t="s">
        <v>112</v>
      </c>
    </row>
    <row r="28" spans="2:6" x14ac:dyDescent="0.2">
      <c r="B28" t="s">
        <v>144</v>
      </c>
      <c r="C28" t="s">
        <v>110</v>
      </c>
      <c r="E28" s="23">
        <v>42787</v>
      </c>
      <c r="F28" t="s">
        <v>128</v>
      </c>
    </row>
    <row r="29" spans="2:6" x14ac:dyDescent="0.2">
      <c r="B29" t="s">
        <v>145</v>
      </c>
      <c r="C29" t="s">
        <v>110</v>
      </c>
      <c r="E29" s="23">
        <v>42766</v>
      </c>
      <c r="F29" t="s">
        <v>122</v>
      </c>
    </row>
    <row r="30" spans="2:6" x14ac:dyDescent="0.2">
      <c r="B30" t="s">
        <v>146</v>
      </c>
      <c r="C30" t="s">
        <v>110</v>
      </c>
      <c r="E30" s="23">
        <v>42745</v>
      </c>
      <c r="F30" t="s">
        <v>147</v>
      </c>
    </row>
    <row r="31" spans="2:6" x14ac:dyDescent="0.2">
      <c r="B31" t="s">
        <v>148</v>
      </c>
      <c r="C31" t="s">
        <v>110</v>
      </c>
      <c r="E31" s="23">
        <v>42731</v>
      </c>
      <c r="F31" t="s">
        <v>133</v>
      </c>
    </row>
    <row r="32" spans="2:6" x14ac:dyDescent="0.2">
      <c r="B32" t="s">
        <v>149</v>
      </c>
      <c r="C32" t="s">
        <v>110</v>
      </c>
      <c r="E32" s="23">
        <v>42612</v>
      </c>
      <c r="F32" t="s">
        <v>150</v>
      </c>
    </row>
    <row r="33" spans="2:6" x14ac:dyDescent="0.2">
      <c r="B33" t="s">
        <v>151</v>
      </c>
      <c r="C33" t="s">
        <v>110</v>
      </c>
      <c r="E33" s="23">
        <v>42605</v>
      </c>
      <c r="F33" t="s">
        <v>152</v>
      </c>
    </row>
    <row r="34" spans="2:6" x14ac:dyDescent="0.2">
      <c r="B34" t="s">
        <v>153</v>
      </c>
      <c r="C34" t="s">
        <v>110</v>
      </c>
      <c r="E34" s="23">
        <v>42605</v>
      </c>
      <c r="F34" t="s">
        <v>120</v>
      </c>
    </row>
    <row r="35" spans="2:6" x14ac:dyDescent="0.2">
      <c r="B35" t="s">
        <v>154</v>
      </c>
      <c r="C35" t="s">
        <v>110</v>
      </c>
      <c r="E35" s="23">
        <v>42584</v>
      </c>
      <c r="F35" t="s">
        <v>155</v>
      </c>
    </row>
    <row r="36" spans="2:6" x14ac:dyDescent="0.2">
      <c r="B36" t="s">
        <v>156</v>
      </c>
      <c r="C36" t="s">
        <v>110</v>
      </c>
      <c r="E36" s="23">
        <v>42577</v>
      </c>
      <c r="F36" t="s">
        <v>157</v>
      </c>
    </row>
    <row r="37" spans="2:6" x14ac:dyDescent="0.2">
      <c r="B37" t="s">
        <v>158</v>
      </c>
      <c r="C37" t="s">
        <v>110</v>
      </c>
      <c r="E37" s="23">
        <v>42514</v>
      </c>
      <c r="F37" t="s">
        <v>159</v>
      </c>
    </row>
    <row r="38" spans="2:6" x14ac:dyDescent="0.2">
      <c r="B38" t="s">
        <v>160</v>
      </c>
      <c r="C38" t="s">
        <v>110</v>
      </c>
      <c r="E38" s="23">
        <v>42507</v>
      </c>
      <c r="F38" t="s">
        <v>161</v>
      </c>
    </row>
    <row r="39" spans="2:6" x14ac:dyDescent="0.2">
      <c r="B39" t="s">
        <v>162</v>
      </c>
      <c r="C39" t="s">
        <v>110</v>
      </c>
      <c r="E39" s="23">
        <v>42486</v>
      </c>
      <c r="F39" t="s">
        <v>163</v>
      </c>
    </row>
    <row r="40" spans="2:6" x14ac:dyDescent="0.2">
      <c r="B40" t="s">
        <v>164</v>
      </c>
      <c r="C40" t="s">
        <v>110</v>
      </c>
      <c r="E40" s="23">
        <v>42486</v>
      </c>
      <c r="F40" t="s">
        <v>165</v>
      </c>
    </row>
    <row r="41" spans="2:6" x14ac:dyDescent="0.2">
      <c r="B41" t="s">
        <v>166</v>
      </c>
      <c r="C41" t="s">
        <v>110</v>
      </c>
      <c r="E41" s="23">
        <v>42479</v>
      </c>
      <c r="F41" t="s">
        <v>167</v>
      </c>
    </row>
    <row r="42" spans="2:6" x14ac:dyDescent="0.2">
      <c r="B42" t="s">
        <v>168</v>
      </c>
      <c r="C42" t="s">
        <v>110</v>
      </c>
      <c r="E42" s="23">
        <v>42185</v>
      </c>
      <c r="F42" t="s">
        <v>159</v>
      </c>
    </row>
    <row r="43" spans="2:6" x14ac:dyDescent="0.2">
      <c r="B43" t="s">
        <v>169</v>
      </c>
      <c r="C43" t="s">
        <v>110</v>
      </c>
      <c r="E43" s="23">
        <v>42178</v>
      </c>
      <c r="F43" t="s">
        <v>128</v>
      </c>
    </row>
    <row r="44" spans="2:6" x14ac:dyDescent="0.2">
      <c r="B44" t="s">
        <v>170</v>
      </c>
      <c r="C44" t="s">
        <v>110</v>
      </c>
      <c r="E44" s="23">
        <v>42178</v>
      </c>
      <c r="F44" t="s">
        <v>171</v>
      </c>
    </row>
    <row r="45" spans="2:6" x14ac:dyDescent="0.2">
      <c r="B45" t="s">
        <v>172</v>
      </c>
      <c r="C45" t="s">
        <v>110</v>
      </c>
      <c r="E45" s="23">
        <v>42143</v>
      </c>
      <c r="F45" t="s">
        <v>122</v>
      </c>
    </row>
    <row r="46" spans="2:6" x14ac:dyDescent="0.2">
      <c r="B46" t="s">
        <v>173</v>
      </c>
      <c r="C46" t="s">
        <v>110</v>
      </c>
      <c r="E46" s="23">
        <v>42143</v>
      </c>
      <c r="F46" t="s">
        <v>124</v>
      </c>
    </row>
    <row r="47" spans="2:6" x14ac:dyDescent="0.2">
      <c r="B47" t="s">
        <v>174</v>
      </c>
      <c r="C47" t="s">
        <v>110</v>
      </c>
      <c r="E47" s="23">
        <v>42143</v>
      </c>
      <c r="F47" t="s">
        <v>126</v>
      </c>
    </row>
    <row r="48" spans="2:6" x14ac:dyDescent="0.2">
      <c r="B48" t="s">
        <v>175</v>
      </c>
      <c r="C48" t="s">
        <v>110</v>
      </c>
      <c r="E48" s="23">
        <v>42136</v>
      </c>
      <c r="F48" t="s">
        <v>176</v>
      </c>
    </row>
    <row r="49" spans="2:6" x14ac:dyDescent="0.2">
      <c r="B49" t="s">
        <v>177</v>
      </c>
      <c r="C49" t="s">
        <v>110</v>
      </c>
      <c r="E49" s="23">
        <v>42101</v>
      </c>
      <c r="F49" t="s">
        <v>118</v>
      </c>
    </row>
    <row r="50" spans="2:6" x14ac:dyDescent="0.2">
      <c r="B50" t="s">
        <v>178</v>
      </c>
      <c r="C50" t="s">
        <v>110</v>
      </c>
      <c r="E50" s="23">
        <v>42094</v>
      </c>
      <c r="F50" t="s">
        <v>179</v>
      </c>
    </row>
    <row r="51" spans="2:6" x14ac:dyDescent="0.2">
      <c r="B51" t="s">
        <v>180</v>
      </c>
      <c r="C51" t="s">
        <v>110</v>
      </c>
      <c r="E51" s="23">
        <v>42087</v>
      </c>
      <c r="F51" t="s">
        <v>112</v>
      </c>
    </row>
    <row r="52" spans="2:6" x14ac:dyDescent="0.2">
      <c r="B52" t="s">
        <v>181</v>
      </c>
      <c r="C52" t="s">
        <v>110</v>
      </c>
      <c r="E52" s="23">
        <v>42087</v>
      </c>
      <c r="F52" t="s">
        <v>182</v>
      </c>
    </row>
    <row r="53" spans="2:6" x14ac:dyDescent="0.2">
      <c r="B53" t="s">
        <v>183</v>
      </c>
      <c r="C53" t="s">
        <v>110</v>
      </c>
      <c r="E53" s="23">
        <v>42080</v>
      </c>
      <c r="F53" t="s">
        <v>131</v>
      </c>
    </row>
    <row r="54" spans="2:6" x14ac:dyDescent="0.2">
      <c r="B54" t="s">
        <v>184</v>
      </c>
      <c r="C54" t="s">
        <v>110</v>
      </c>
      <c r="E54" s="23">
        <v>42080</v>
      </c>
      <c r="F54" t="s">
        <v>185</v>
      </c>
    </row>
    <row r="55" spans="2:6" x14ac:dyDescent="0.2">
      <c r="B55" t="s">
        <v>186</v>
      </c>
      <c r="C55" t="s">
        <v>110</v>
      </c>
      <c r="E55" s="23">
        <v>42066</v>
      </c>
      <c r="F55" t="s">
        <v>167</v>
      </c>
    </row>
    <row r="56" spans="2:6" x14ac:dyDescent="0.2">
      <c r="B56" t="s">
        <v>187</v>
      </c>
      <c r="C56" t="s">
        <v>188</v>
      </c>
      <c r="E56" s="23">
        <v>42059</v>
      </c>
      <c r="F56" t="s">
        <v>133</v>
      </c>
    </row>
    <row r="57" spans="2:6" x14ac:dyDescent="0.2">
      <c r="B57" t="s">
        <v>189</v>
      </c>
      <c r="C57" t="s">
        <v>110</v>
      </c>
      <c r="E57" s="23">
        <v>42059</v>
      </c>
      <c r="F57" t="s">
        <v>165</v>
      </c>
    </row>
    <row r="58" spans="2:6" x14ac:dyDescent="0.2">
      <c r="B58" t="s">
        <v>190</v>
      </c>
      <c r="C58" t="s">
        <v>110</v>
      </c>
      <c r="E58" s="23">
        <v>42038</v>
      </c>
      <c r="F58" t="s">
        <v>161</v>
      </c>
    </row>
    <row r="59" spans="2:6" x14ac:dyDescent="0.2">
      <c r="B59" t="s">
        <v>191</v>
      </c>
      <c r="C59" t="s">
        <v>110</v>
      </c>
      <c r="E59" s="23">
        <v>42038</v>
      </c>
      <c r="F59" t="s">
        <v>116</v>
      </c>
    </row>
    <row r="60" spans="2:6" x14ac:dyDescent="0.2">
      <c r="B60" t="s">
        <v>192</v>
      </c>
      <c r="C60" t="s">
        <v>110</v>
      </c>
      <c r="E60" s="23">
        <v>41606</v>
      </c>
      <c r="F60" t="s">
        <v>193</v>
      </c>
    </row>
    <row r="61" spans="2:6" x14ac:dyDescent="0.2">
      <c r="B61" t="s">
        <v>194</v>
      </c>
      <c r="C61" t="s">
        <v>110</v>
      </c>
      <c r="E61" s="23">
        <v>41578</v>
      </c>
      <c r="F61" t="s">
        <v>195</v>
      </c>
    </row>
    <row r="62" spans="2:6" x14ac:dyDescent="0.2">
      <c r="B62" t="s">
        <v>196</v>
      </c>
      <c r="C62" t="s">
        <v>110</v>
      </c>
      <c r="E62" s="23">
        <v>41536</v>
      </c>
      <c r="F62" t="s">
        <v>197</v>
      </c>
    </row>
    <row r="63" spans="2:6" x14ac:dyDescent="0.2">
      <c r="B63" t="s">
        <v>198</v>
      </c>
      <c r="C63" t="s">
        <v>110</v>
      </c>
      <c r="E63" s="23">
        <v>41529</v>
      </c>
      <c r="F63" t="s">
        <v>199</v>
      </c>
    </row>
    <row r="64" spans="2:6" x14ac:dyDescent="0.2">
      <c r="B64" t="s">
        <v>200</v>
      </c>
      <c r="C64" t="s">
        <v>110</v>
      </c>
      <c r="E64" s="23">
        <v>41522</v>
      </c>
      <c r="F64" t="s">
        <v>201</v>
      </c>
    </row>
    <row r="65" spans="2:6" x14ac:dyDescent="0.2">
      <c r="B65" t="s">
        <v>202</v>
      </c>
      <c r="C65" t="s">
        <v>110</v>
      </c>
      <c r="E65" s="23">
        <v>41522</v>
      </c>
      <c r="F65" t="s">
        <v>203</v>
      </c>
    </row>
    <row r="66" spans="2:6" x14ac:dyDescent="0.2">
      <c r="B66" t="s">
        <v>204</v>
      </c>
      <c r="C66" t="s">
        <v>110</v>
      </c>
      <c r="E66" s="23">
        <v>41522</v>
      </c>
      <c r="F66" t="s">
        <v>205</v>
      </c>
    </row>
    <row r="67" spans="2:6" x14ac:dyDescent="0.2">
      <c r="B67" t="s">
        <v>206</v>
      </c>
      <c r="C67" t="s">
        <v>110</v>
      </c>
      <c r="E67" s="23">
        <v>41515</v>
      </c>
      <c r="F67" t="s">
        <v>207</v>
      </c>
    </row>
    <row r="68" spans="2:6" x14ac:dyDescent="0.2">
      <c r="B68" t="s">
        <v>208</v>
      </c>
      <c r="C68" t="s">
        <v>110</v>
      </c>
      <c r="E68" s="23">
        <v>41515</v>
      </c>
      <c r="F68" t="s">
        <v>209</v>
      </c>
    </row>
    <row r="69" spans="2:6" x14ac:dyDescent="0.2">
      <c r="B69" t="s">
        <v>210</v>
      </c>
      <c r="C69" t="s">
        <v>110</v>
      </c>
      <c r="E69" s="23">
        <v>41501</v>
      </c>
      <c r="F69" t="s">
        <v>211</v>
      </c>
    </row>
    <row r="70" spans="2:6" x14ac:dyDescent="0.2">
      <c r="B70" t="s">
        <v>212</v>
      </c>
      <c r="C70" t="s">
        <v>110</v>
      </c>
      <c r="E70" s="23">
        <v>41501</v>
      </c>
      <c r="F70" t="s">
        <v>213</v>
      </c>
    </row>
    <row r="71" spans="2:6" x14ac:dyDescent="0.2">
      <c r="B71" t="s">
        <v>214</v>
      </c>
      <c r="C71" t="s">
        <v>110</v>
      </c>
      <c r="E71" s="23">
        <v>41494</v>
      </c>
      <c r="F71" t="s">
        <v>215</v>
      </c>
    </row>
    <row r="72" spans="2:6" x14ac:dyDescent="0.2">
      <c r="B72" t="s">
        <v>216</v>
      </c>
      <c r="C72" t="s">
        <v>110</v>
      </c>
      <c r="E72" s="23">
        <v>41494</v>
      </c>
      <c r="F72" t="s">
        <v>217</v>
      </c>
    </row>
    <row r="73" spans="2:6" x14ac:dyDescent="0.2">
      <c r="B73" t="s">
        <v>218</v>
      </c>
      <c r="C73" t="s">
        <v>110</v>
      </c>
      <c r="E73" s="23">
        <v>41494</v>
      </c>
      <c r="F73" t="s">
        <v>219</v>
      </c>
    </row>
    <row r="74" spans="2:6" x14ac:dyDescent="0.2">
      <c r="B74" t="s">
        <v>220</v>
      </c>
      <c r="C74" t="s">
        <v>110</v>
      </c>
      <c r="E74" s="23">
        <v>41431</v>
      </c>
      <c r="F74" t="s">
        <v>221</v>
      </c>
    </row>
    <row r="75" spans="2:6" x14ac:dyDescent="0.2">
      <c r="B75" t="s">
        <v>222</v>
      </c>
      <c r="C75" t="s">
        <v>110</v>
      </c>
      <c r="E75" s="23">
        <v>41417</v>
      </c>
      <c r="F75" t="s">
        <v>223</v>
      </c>
    </row>
    <row r="76" spans="2:6" x14ac:dyDescent="0.2">
      <c r="B76" t="s">
        <v>224</v>
      </c>
      <c r="C76" t="s">
        <v>188</v>
      </c>
      <c r="E76" s="23">
        <v>41417</v>
      </c>
      <c r="F76" t="s">
        <v>225</v>
      </c>
    </row>
    <row r="77" spans="2:6" x14ac:dyDescent="0.2">
      <c r="B77" t="s">
        <v>226</v>
      </c>
      <c r="C77" t="s">
        <v>110</v>
      </c>
      <c r="E77" s="23">
        <v>41417</v>
      </c>
      <c r="F77" t="s">
        <v>227</v>
      </c>
    </row>
    <row r="79" spans="2:6" x14ac:dyDescent="0.2">
      <c r="F79" t="s">
        <v>231</v>
      </c>
    </row>
    <row r="80" spans="2:6" x14ac:dyDescent="0.2">
      <c r="B80" t="s">
        <v>245</v>
      </c>
      <c r="C80" t="s">
        <v>247</v>
      </c>
      <c r="E80" s="23">
        <v>45813</v>
      </c>
      <c r="F80" t="s">
        <v>246</v>
      </c>
    </row>
    <row r="81" spans="2:6" x14ac:dyDescent="0.2">
      <c r="B81" t="s">
        <v>243</v>
      </c>
      <c r="C81" t="s">
        <v>230</v>
      </c>
      <c r="E81" s="23">
        <v>42003</v>
      </c>
      <c r="F81" t="s">
        <v>244</v>
      </c>
    </row>
    <row r="82" spans="2:6" x14ac:dyDescent="0.2">
      <c r="B82" t="s">
        <v>241</v>
      </c>
      <c r="C82" t="s">
        <v>230</v>
      </c>
      <c r="E82" s="23">
        <v>41681</v>
      </c>
      <c r="F82" t="s">
        <v>242</v>
      </c>
    </row>
    <row r="83" spans="2:6" x14ac:dyDescent="0.2">
      <c r="B83" t="s">
        <v>239</v>
      </c>
      <c r="C83" t="s">
        <v>234</v>
      </c>
      <c r="E83" s="23">
        <v>41443</v>
      </c>
      <c r="F83" t="s">
        <v>240</v>
      </c>
    </row>
    <row r="84" spans="2:6" x14ac:dyDescent="0.2">
      <c r="B84" t="s">
        <v>235</v>
      </c>
      <c r="C84" t="s">
        <v>236</v>
      </c>
      <c r="E84" s="23">
        <v>41263</v>
      </c>
      <c r="F84" t="s">
        <v>233</v>
      </c>
    </row>
    <row r="85" spans="2:6" x14ac:dyDescent="0.2">
      <c r="B85" t="s">
        <v>237</v>
      </c>
      <c r="C85" t="s">
        <v>234</v>
      </c>
      <c r="E85" s="23">
        <v>41240</v>
      </c>
      <c r="F85" t="s">
        <v>238</v>
      </c>
    </row>
    <row r="86" spans="2:6" x14ac:dyDescent="0.2">
      <c r="B86" t="s">
        <v>228</v>
      </c>
      <c r="C86" t="s">
        <v>230</v>
      </c>
      <c r="E86" s="23">
        <v>40367</v>
      </c>
      <c r="F86" t="s">
        <v>229</v>
      </c>
    </row>
    <row r="87" spans="2:6" x14ac:dyDescent="0.2">
      <c r="B87" t="s">
        <v>232</v>
      </c>
      <c r="C87" t="s">
        <v>234</v>
      </c>
      <c r="E87" s="23">
        <v>40346</v>
      </c>
      <c r="F87" t="s">
        <v>233</v>
      </c>
    </row>
  </sheetData>
  <hyperlinks>
    <hyperlink ref="A1" location="Main!A1" display="Main" xr:uid="{783591D5-D58A-4921-932E-2AA337E253CF}"/>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690E-22BA-4E36-BAAB-A3F6AF4B864E}">
  <dimension ref="A1:E38"/>
  <sheetViews>
    <sheetView tabSelected="1" zoomScale="130" zoomScaleNormal="130" workbookViewId="0">
      <pane ySplit="2" topLeftCell="A18" activePane="bottomLeft" state="frozen"/>
      <selection pane="bottomLeft" activeCell="E37" sqref="E37"/>
    </sheetView>
  </sheetViews>
  <sheetFormatPr defaultRowHeight="12.75" x14ac:dyDescent="0.2"/>
  <cols>
    <col min="1" max="1" width="5" bestFit="1" customWidth="1"/>
    <col min="3" max="3" width="9.85546875" bestFit="1" customWidth="1"/>
  </cols>
  <sheetData>
    <row r="1" spans="1:5" x14ac:dyDescent="0.2">
      <c r="A1" s="3" t="s">
        <v>6</v>
      </c>
    </row>
    <row r="2" spans="1:5" x14ac:dyDescent="0.2">
      <c r="B2" t="s">
        <v>71</v>
      </c>
      <c r="C2" t="s">
        <v>72</v>
      </c>
      <c r="D2" t="s">
        <v>73</v>
      </c>
      <c r="E2" t="s">
        <v>74</v>
      </c>
    </row>
    <row r="3" spans="1:5" x14ac:dyDescent="0.2">
      <c r="E3" t="s">
        <v>78</v>
      </c>
    </row>
    <row r="4" spans="1:5" x14ac:dyDescent="0.2">
      <c r="E4" t="s">
        <v>95</v>
      </c>
    </row>
    <row r="5" spans="1:5" x14ac:dyDescent="0.2">
      <c r="E5" t="s">
        <v>94</v>
      </c>
    </row>
    <row r="6" spans="1:5" x14ac:dyDescent="0.2">
      <c r="E6" t="s">
        <v>93</v>
      </c>
    </row>
    <row r="7" spans="1:5" x14ac:dyDescent="0.2">
      <c r="E7" t="s">
        <v>92</v>
      </c>
    </row>
    <row r="8" spans="1:5" x14ac:dyDescent="0.2">
      <c r="E8" t="s">
        <v>91</v>
      </c>
    </row>
    <row r="9" spans="1:5" x14ac:dyDescent="0.2">
      <c r="E9" t="s">
        <v>90</v>
      </c>
    </row>
    <row r="10" spans="1:5" x14ac:dyDescent="0.2">
      <c r="E10" t="s">
        <v>89</v>
      </c>
    </row>
    <row r="11" spans="1:5" x14ac:dyDescent="0.2">
      <c r="E11" t="s">
        <v>88</v>
      </c>
    </row>
    <row r="12" spans="1:5" x14ac:dyDescent="0.2">
      <c r="E12" t="s">
        <v>87</v>
      </c>
    </row>
    <row r="13" spans="1:5" x14ac:dyDescent="0.2">
      <c r="E13" t="s">
        <v>86</v>
      </c>
    </row>
    <row r="14" spans="1:5" x14ac:dyDescent="0.2">
      <c r="E14" t="s">
        <v>85</v>
      </c>
    </row>
    <row r="15" spans="1:5" x14ac:dyDescent="0.2">
      <c r="E15" t="s">
        <v>84</v>
      </c>
    </row>
    <row r="17" spans="4:5" x14ac:dyDescent="0.2">
      <c r="E17" t="s">
        <v>79</v>
      </c>
    </row>
    <row r="18" spans="4:5" x14ac:dyDescent="0.2">
      <c r="E18" t="s">
        <v>80</v>
      </c>
    </row>
    <row r="19" spans="4:5" x14ac:dyDescent="0.2">
      <c r="E19" t="s">
        <v>81</v>
      </c>
    </row>
    <row r="20" spans="4:5" x14ac:dyDescent="0.2">
      <c r="E20" t="s">
        <v>83</v>
      </c>
    </row>
    <row r="21" spans="4:5" x14ac:dyDescent="0.2">
      <c r="E21" t="s">
        <v>82</v>
      </c>
    </row>
    <row r="23" spans="4:5" x14ac:dyDescent="0.2">
      <c r="E23" t="s">
        <v>253</v>
      </c>
    </row>
    <row r="24" spans="4:5" x14ac:dyDescent="0.2">
      <c r="D24" t="s">
        <v>254</v>
      </c>
      <c r="E24" t="s">
        <v>252</v>
      </c>
    </row>
    <row r="25" spans="4:5" x14ac:dyDescent="0.2">
      <c r="E25" t="s">
        <v>255</v>
      </c>
    </row>
    <row r="26" spans="4:5" x14ac:dyDescent="0.2">
      <c r="E26" t="s">
        <v>256</v>
      </c>
    </row>
    <row r="27" spans="4:5" x14ac:dyDescent="0.2">
      <c r="E27" t="s">
        <v>257</v>
      </c>
    </row>
    <row r="28" spans="4:5" x14ac:dyDescent="0.2">
      <c r="E28" t="s">
        <v>258</v>
      </c>
    </row>
    <row r="29" spans="4:5" x14ac:dyDescent="0.2">
      <c r="E29" t="s">
        <v>259</v>
      </c>
    </row>
    <row r="31" spans="4:5" x14ac:dyDescent="0.2">
      <c r="E31" t="s">
        <v>260</v>
      </c>
    </row>
    <row r="32" spans="4:5" x14ac:dyDescent="0.2">
      <c r="E32" t="s">
        <v>262</v>
      </c>
    </row>
    <row r="33" spans="5:5" x14ac:dyDescent="0.2">
      <c r="E33" t="s">
        <v>263</v>
      </c>
    </row>
    <row r="34" spans="5:5" x14ac:dyDescent="0.2">
      <c r="E34" t="s">
        <v>264</v>
      </c>
    </row>
    <row r="36" spans="5:5" x14ac:dyDescent="0.2">
      <c r="E36" t="s">
        <v>261</v>
      </c>
    </row>
    <row r="37" spans="5:5" x14ac:dyDescent="0.2">
      <c r="E37" t="s">
        <v>95</v>
      </c>
    </row>
    <row r="38" spans="5:5" x14ac:dyDescent="0.2">
      <c r="E38" t="s">
        <v>265</v>
      </c>
    </row>
  </sheetData>
  <hyperlinks>
    <hyperlink ref="A1" location="Main!A1" display="Main" xr:uid="{D950B39F-F1A0-4AD6-A698-376DEA6C1D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128DA-F2C3-400D-ADA5-F63C0136BED3}">
  <dimension ref="A1:C6"/>
  <sheetViews>
    <sheetView zoomScale="145" zoomScaleNormal="145" workbookViewId="0">
      <selection activeCell="D26" sqref="D26"/>
    </sheetView>
  </sheetViews>
  <sheetFormatPr defaultRowHeight="12.75" x14ac:dyDescent="0.2"/>
  <cols>
    <col min="1" max="1" width="5" bestFit="1" customWidth="1"/>
    <col min="2" max="2" width="10.42578125" bestFit="1" customWidth="1"/>
    <col min="3" max="3" width="11.42578125" bestFit="1" customWidth="1"/>
    <col min="5" max="5" width="18.5703125" bestFit="1" customWidth="1"/>
  </cols>
  <sheetData>
    <row r="1" spans="1:3" x14ac:dyDescent="0.2">
      <c r="A1" s="3" t="s">
        <v>6</v>
      </c>
    </row>
    <row r="2" spans="1:3" x14ac:dyDescent="0.2">
      <c r="B2" t="s">
        <v>25</v>
      </c>
      <c r="C2" t="s">
        <v>248</v>
      </c>
    </row>
    <row r="3" spans="1:3" x14ac:dyDescent="0.2">
      <c r="B3" t="s">
        <v>249</v>
      </c>
      <c r="C3" t="s">
        <v>250</v>
      </c>
    </row>
    <row r="4" spans="1:3" x14ac:dyDescent="0.2">
      <c r="B4" t="s">
        <v>251</v>
      </c>
      <c r="C4" t="s">
        <v>266</v>
      </c>
    </row>
    <row r="5" spans="1:3" x14ac:dyDescent="0.2">
      <c r="B5" t="s">
        <v>267</v>
      </c>
      <c r="C5" t="s">
        <v>268</v>
      </c>
    </row>
    <row r="6" spans="1:3" x14ac:dyDescent="0.2">
      <c r="B6" t="s">
        <v>269</v>
      </c>
    </row>
  </sheetData>
  <hyperlinks>
    <hyperlink ref="A1" location="Main!A1" display="Main" xr:uid="{EDCAE69C-B5D8-4D58-93D0-66B1911C446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540E-F705-4B35-B65E-10041AF49ADA}">
  <dimension ref="A1:B2"/>
  <sheetViews>
    <sheetView zoomScale="160" zoomScaleNormal="160" workbookViewId="0">
      <selection activeCell="B3" sqref="B3"/>
    </sheetView>
  </sheetViews>
  <sheetFormatPr defaultRowHeight="12.75" x14ac:dyDescent="0.2"/>
  <cols>
    <col min="1" max="1" width="5" bestFit="1" customWidth="1"/>
  </cols>
  <sheetData>
    <row r="1" spans="1:2" x14ac:dyDescent="0.2">
      <c r="A1" s="3" t="s">
        <v>6</v>
      </c>
    </row>
    <row r="2" spans="1:2" x14ac:dyDescent="0.2">
      <c r="B2" t="s">
        <v>25</v>
      </c>
    </row>
  </sheetData>
  <hyperlinks>
    <hyperlink ref="A1" location="Main!A1" display="Main" xr:uid="{BA538601-F044-4F68-A870-040B5CBBF45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B33E-E1FF-4ECC-8F74-DECD74E92A04}">
  <dimension ref="A1:Q34"/>
  <sheetViews>
    <sheetView topLeftCell="B1" zoomScale="160" zoomScaleNormal="160" workbookViewId="0">
      <selection activeCell="F29" sqref="F29"/>
    </sheetView>
  </sheetViews>
  <sheetFormatPr defaultRowHeight="12.75" x14ac:dyDescent="0.2"/>
  <cols>
    <col min="1" max="1" width="4.7109375" customWidth="1"/>
    <col min="2" max="2" width="14.28515625" customWidth="1"/>
  </cols>
  <sheetData>
    <row r="1" spans="1:3" x14ac:dyDescent="0.2">
      <c r="A1" s="3" t="s">
        <v>6</v>
      </c>
    </row>
    <row r="2" spans="1:3" x14ac:dyDescent="0.2">
      <c r="B2" t="s">
        <v>33</v>
      </c>
      <c r="C2" t="s">
        <v>75</v>
      </c>
    </row>
    <row r="3" spans="1:3" x14ac:dyDescent="0.2">
      <c r="B3" t="s">
        <v>32</v>
      </c>
      <c r="C3" t="s">
        <v>41</v>
      </c>
    </row>
    <row r="4" spans="1:3" x14ac:dyDescent="0.2">
      <c r="B4" t="s">
        <v>26</v>
      </c>
      <c r="C4" t="s">
        <v>63</v>
      </c>
    </row>
    <row r="5" spans="1:3" x14ac:dyDescent="0.2">
      <c r="B5" t="s">
        <v>27</v>
      </c>
      <c r="C5" t="s">
        <v>35</v>
      </c>
    </row>
    <row r="6" spans="1:3" x14ac:dyDescent="0.2">
      <c r="B6" t="s">
        <v>77</v>
      </c>
    </row>
    <row r="7" spans="1:3" x14ac:dyDescent="0.2">
      <c r="B7" t="s">
        <v>56</v>
      </c>
    </row>
    <row r="8" spans="1:3" x14ac:dyDescent="0.2">
      <c r="B8" t="s">
        <v>28</v>
      </c>
      <c r="C8" t="s">
        <v>76</v>
      </c>
    </row>
    <row r="9" spans="1:3" x14ac:dyDescent="0.2">
      <c r="B9" t="s">
        <v>34</v>
      </c>
    </row>
    <row r="10" spans="1:3" x14ac:dyDescent="0.2">
      <c r="C10" s="21" t="s">
        <v>55</v>
      </c>
    </row>
    <row r="11" spans="1:3" x14ac:dyDescent="0.2">
      <c r="C11" t="s">
        <v>59</v>
      </c>
    </row>
    <row r="13" spans="1:3" x14ac:dyDescent="0.2">
      <c r="C13" s="21" t="s">
        <v>57</v>
      </c>
    </row>
    <row r="14" spans="1:3" x14ac:dyDescent="0.2">
      <c r="C14" t="s">
        <v>67</v>
      </c>
    </row>
    <row r="15" spans="1:3" x14ac:dyDescent="0.2">
      <c r="C15" t="s">
        <v>58</v>
      </c>
    </row>
    <row r="16" spans="1:3" x14ac:dyDescent="0.2">
      <c r="C16" t="s">
        <v>60</v>
      </c>
    </row>
    <row r="17" spans="2:17" x14ac:dyDescent="0.2">
      <c r="C17" t="s">
        <v>62</v>
      </c>
    </row>
    <row r="20" spans="2:17" x14ac:dyDescent="0.2">
      <c r="C20">
        <v>2025</v>
      </c>
      <c r="D20">
        <f>C20+1</f>
        <v>2026</v>
      </c>
      <c r="E20">
        <f t="shared" ref="E20:Q20" si="0">D20+1</f>
        <v>2027</v>
      </c>
      <c r="F20">
        <f t="shared" si="0"/>
        <v>2028</v>
      </c>
      <c r="G20">
        <f t="shared" si="0"/>
        <v>2029</v>
      </c>
      <c r="H20">
        <f t="shared" si="0"/>
        <v>2030</v>
      </c>
      <c r="I20">
        <f t="shared" si="0"/>
        <v>2031</v>
      </c>
      <c r="J20">
        <f t="shared" si="0"/>
        <v>2032</v>
      </c>
      <c r="K20">
        <f t="shared" si="0"/>
        <v>2033</v>
      </c>
      <c r="L20">
        <f t="shared" si="0"/>
        <v>2034</v>
      </c>
      <c r="M20">
        <f t="shared" si="0"/>
        <v>2035</v>
      </c>
      <c r="N20">
        <f t="shared" si="0"/>
        <v>2036</v>
      </c>
      <c r="O20">
        <f t="shared" si="0"/>
        <v>2037</v>
      </c>
      <c r="P20">
        <f t="shared" si="0"/>
        <v>2038</v>
      </c>
      <c r="Q20">
        <f t="shared" si="0"/>
        <v>2039</v>
      </c>
    </row>
    <row r="21" spans="2:17" x14ac:dyDescent="0.2">
      <c r="B21" t="s">
        <v>51</v>
      </c>
      <c r="C21" s="22">
        <f>150000/1000000</f>
        <v>0.15</v>
      </c>
      <c r="D21" s="22">
        <f>C21*1.03</f>
        <v>0.1545</v>
      </c>
      <c r="E21" s="22">
        <f t="shared" ref="E21:Q21" si="1">D21*1.03</f>
        <v>0.159135</v>
      </c>
      <c r="F21" s="22">
        <f t="shared" si="1"/>
        <v>0.16390905</v>
      </c>
      <c r="G21" s="22">
        <f t="shared" si="1"/>
        <v>0.16882632150000002</v>
      </c>
      <c r="H21" s="22">
        <f t="shared" si="1"/>
        <v>0.17389111114500003</v>
      </c>
      <c r="I21" s="22">
        <f t="shared" si="1"/>
        <v>0.17910784447935002</v>
      </c>
      <c r="J21" s="22">
        <f t="shared" si="1"/>
        <v>0.18448107981373052</v>
      </c>
      <c r="K21" s="22">
        <f t="shared" si="1"/>
        <v>0.19001551220814245</v>
      </c>
      <c r="L21" s="22">
        <f t="shared" si="1"/>
        <v>0.19571597757438672</v>
      </c>
      <c r="M21" s="22">
        <f t="shared" si="1"/>
        <v>0.20158745690161833</v>
      </c>
      <c r="N21" s="22">
        <f t="shared" si="1"/>
        <v>0.20763508060866689</v>
      </c>
      <c r="O21" s="22">
        <f t="shared" si="1"/>
        <v>0.21386413302692692</v>
      </c>
      <c r="P21" s="22">
        <f t="shared" si="1"/>
        <v>0.22028005701773473</v>
      </c>
      <c r="Q21" s="22">
        <f t="shared" si="1"/>
        <v>0.22688845872826677</v>
      </c>
    </row>
    <row r="22" spans="2:17" x14ac:dyDescent="0.2">
      <c r="B22" t="s">
        <v>52</v>
      </c>
      <c r="C22" s="2"/>
      <c r="D22" s="2"/>
      <c r="E22" s="1">
        <f>E21*0.2</f>
        <v>3.1827000000000001E-2</v>
      </c>
      <c r="F22" s="1">
        <f t="shared" ref="F22:Q22" si="2">F21*0.2</f>
        <v>3.2781810000000002E-2</v>
      </c>
      <c r="G22" s="1">
        <f t="shared" si="2"/>
        <v>3.3765264300000007E-2</v>
      </c>
      <c r="H22" s="1">
        <f t="shared" si="2"/>
        <v>3.4778222229000004E-2</v>
      </c>
      <c r="I22" s="1">
        <f t="shared" si="2"/>
        <v>3.5821568895870008E-2</v>
      </c>
      <c r="J22" s="1">
        <f t="shared" si="2"/>
        <v>3.6896215962746108E-2</v>
      </c>
      <c r="K22" s="1">
        <f t="shared" si="2"/>
        <v>3.8003102441628495E-2</v>
      </c>
      <c r="L22" s="1">
        <f t="shared" si="2"/>
        <v>3.9143195514877348E-2</v>
      </c>
      <c r="M22" s="1">
        <f t="shared" si="2"/>
        <v>4.0317491380323672E-2</v>
      </c>
      <c r="N22" s="1">
        <f t="shared" si="2"/>
        <v>4.152701612173338E-2</v>
      </c>
      <c r="O22" s="1">
        <f t="shared" si="2"/>
        <v>4.2772826605385388E-2</v>
      </c>
      <c r="P22" s="1">
        <f t="shared" si="2"/>
        <v>4.4056011403546952E-2</v>
      </c>
      <c r="Q22" s="1">
        <f t="shared" si="2"/>
        <v>4.5377691745653356E-2</v>
      </c>
    </row>
    <row r="23" spans="2:17" x14ac:dyDescent="0.2">
      <c r="B23" t="s">
        <v>0</v>
      </c>
      <c r="C23" s="2"/>
      <c r="D23" s="2"/>
      <c r="E23" s="2">
        <v>18000</v>
      </c>
      <c r="F23" s="2">
        <v>18000</v>
      </c>
      <c r="G23" s="2">
        <v>18000</v>
      </c>
      <c r="H23" s="2">
        <v>18000</v>
      </c>
      <c r="I23" s="2">
        <v>18000</v>
      </c>
      <c r="J23" s="2">
        <v>18000</v>
      </c>
      <c r="K23" s="2">
        <v>18000</v>
      </c>
      <c r="L23" s="2">
        <v>18000</v>
      </c>
      <c r="M23" s="2">
        <v>18000</v>
      </c>
      <c r="N23" s="2">
        <v>18000</v>
      </c>
      <c r="O23" s="2">
        <v>18000</v>
      </c>
      <c r="P23" s="2">
        <v>18000</v>
      </c>
      <c r="Q23" s="2">
        <v>18000</v>
      </c>
    </row>
    <row r="24" spans="2:17" x14ac:dyDescent="0.2">
      <c r="B24" t="s">
        <v>7</v>
      </c>
      <c r="C24" s="2">
        <f>C22*0.5</f>
        <v>0</v>
      </c>
      <c r="D24" s="2">
        <f t="shared" ref="D24" si="3">D22*0.5</f>
        <v>0</v>
      </c>
      <c r="E24" s="2">
        <f>0.5*(E23*E22)</f>
        <v>286.44299999999998</v>
      </c>
      <c r="F24" s="2">
        <f t="shared" ref="F24:Q24" si="4">0.5*(F23*F22)</f>
        <v>295.03629000000001</v>
      </c>
      <c r="G24" s="2">
        <f t="shared" si="4"/>
        <v>303.88737870000006</v>
      </c>
      <c r="H24" s="2">
        <f t="shared" si="4"/>
        <v>313.00400006100006</v>
      </c>
      <c r="I24" s="2">
        <f t="shared" si="4"/>
        <v>322.3941200628301</v>
      </c>
      <c r="J24" s="2">
        <f t="shared" si="4"/>
        <v>332.06594366471495</v>
      </c>
      <c r="K24" s="2">
        <f t="shared" si="4"/>
        <v>342.02792197465646</v>
      </c>
      <c r="L24" s="2">
        <f t="shared" si="4"/>
        <v>352.28875963389612</v>
      </c>
      <c r="M24" s="2">
        <f t="shared" si="4"/>
        <v>362.85742242291303</v>
      </c>
      <c r="N24" s="2">
        <f t="shared" si="4"/>
        <v>373.74314509560043</v>
      </c>
      <c r="O24" s="2">
        <f t="shared" si="4"/>
        <v>384.9554394484685</v>
      </c>
      <c r="P24" s="2">
        <f t="shared" si="4"/>
        <v>396.50410263192259</v>
      </c>
      <c r="Q24" s="2">
        <f t="shared" si="4"/>
        <v>408.39922571088022</v>
      </c>
    </row>
    <row r="25" spans="2:17" x14ac:dyDescent="0.2">
      <c r="B25" t="s">
        <v>45</v>
      </c>
      <c r="C25" s="16">
        <v>0.08</v>
      </c>
      <c r="E25" t="s">
        <v>64</v>
      </c>
    </row>
    <row r="26" spans="2:17" x14ac:dyDescent="0.2">
      <c r="B26" t="s">
        <v>46</v>
      </c>
      <c r="C26" s="2">
        <f>NPV(C25,C24:XFD24)</f>
        <v>2259.43802874522</v>
      </c>
    </row>
    <row r="28" spans="2:17" x14ac:dyDescent="0.2">
      <c r="B28" t="s">
        <v>53</v>
      </c>
      <c r="C28" s="1">
        <f>(C26+Main!P5-Main!P6)/Main!P3</f>
        <v>26.113460997137306</v>
      </c>
      <c r="D28" s="16">
        <f>C28/Main!$P$2-1</f>
        <v>3.9270681126674161</v>
      </c>
    </row>
    <row r="29" spans="2:17" x14ac:dyDescent="0.2">
      <c r="B29" s="4" t="s">
        <v>54</v>
      </c>
      <c r="C29" s="20">
        <f>(Main!P5-Main!P6)/Main!P3</f>
        <v>0.72651685393258425</v>
      </c>
      <c r="D29" s="16">
        <f>C29/Main!$P$2-1</f>
        <v>-0.86292134831460676</v>
      </c>
    </row>
    <row r="30" spans="2:17" x14ac:dyDescent="0.2">
      <c r="B30" t="s">
        <v>70</v>
      </c>
      <c r="C30" s="16">
        <f>Main!P7/Efzofitimod!C26</f>
        <v>0.18015099100817111</v>
      </c>
    </row>
    <row r="31" spans="2:17" x14ac:dyDescent="0.2">
      <c r="B31" s="4"/>
      <c r="C31" s="20"/>
    </row>
    <row r="33" spans="2:2" x14ac:dyDescent="0.2">
      <c r="B33" s="3" t="s">
        <v>40</v>
      </c>
    </row>
    <row r="34" spans="2:2" x14ac:dyDescent="0.2">
      <c r="B34" t="s">
        <v>61</v>
      </c>
    </row>
  </sheetData>
  <hyperlinks>
    <hyperlink ref="A1" location="Main!A1" display="Main" xr:uid="{75E199C5-085C-4591-9985-1C0285F2B044}"/>
    <hyperlink ref="B33" r:id="rId1" xr:uid="{09B8561B-1081-4C66-A0B0-65FBE17FC8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IP</vt:lpstr>
      <vt:lpstr>Literature</vt:lpstr>
      <vt:lpstr>Sarcoidosis</vt:lpstr>
      <vt:lpstr>NRP2</vt:lpstr>
      <vt:lpstr>Efzofitimod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2025-07-13T07:49:59Z</dcterms:created>
  <dcterms:modified xsi:type="dcterms:W3CDTF">2025-09-01T11:25:15Z</dcterms:modified>
</cp:coreProperties>
</file>