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9F848E84-30C3-447D-8745-547A7B64A67F}" xr6:coauthVersionLast="47" xr6:coauthVersionMax="47" xr10:uidLastSave="{00000000-0000-0000-0000-000000000000}"/>
  <bookViews>
    <workbookView xWindow="2655" yWindow="645" windowWidth="22200" windowHeight="14205" activeTab="5" xr2:uid="{3429F372-D7C1-4064-99DD-3C34B787F131}"/>
  </bookViews>
  <sheets>
    <sheet name="Main" sheetId="1" r:id="rId1"/>
    <sheet name="Todo" sheetId="7" r:id="rId2"/>
    <sheet name="Clinical Trials" sheetId="10" r:id="rId3"/>
    <sheet name="Launches" sheetId="12" r:id="rId4"/>
    <sheet name="Drugs" sheetId="6" r:id="rId5"/>
    <sheet name="Diseases" sheetId="9" r:id="rId6"/>
    <sheet name="Private" sheetId="5" r:id="rId7"/>
    <sheet name="Funds" sheetId="8" r:id="rId8"/>
    <sheet name="Database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K46" i="1"/>
  <c r="K119" i="1"/>
  <c r="J119" i="1"/>
  <c r="G119" i="1"/>
  <c r="H119" i="1"/>
  <c r="L119" i="1" l="1"/>
  <c r="F119" i="1"/>
  <c r="O5" i="1" l="1"/>
  <c r="N5" i="1"/>
  <c r="M5" i="1"/>
  <c r="K5" i="1"/>
  <c r="J5" i="1"/>
  <c r="F5" i="1" s="1"/>
  <c r="H5" i="1"/>
  <c r="G5" i="1"/>
  <c r="L5" i="1" l="1"/>
  <c r="H4" i="1"/>
  <c r="H11" i="1" l="1"/>
  <c r="H6" i="1" l="1"/>
  <c r="E36" i="9" l="1"/>
  <c r="E123" i="9" s="1"/>
  <c r="E117" i="9"/>
  <c r="E118" i="9"/>
  <c r="E119" i="9"/>
  <c r="E120" i="9"/>
  <c r="E121" i="9"/>
  <c r="E116" i="9"/>
  <c r="E115" i="9"/>
  <c r="F115" i="9" s="1"/>
  <c r="D116" i="9"/>
  <c r="C116" i="9"/>
  <c r="D117" i="9"/>
  <c r="C117" i="9"/>
  <c r="C121" i="9"/>
  <c r="D121" i="9"/>
  <c r="D120" i="9"/>
  <c r="C120" i="9"/>
  <c r="D119" i="9"/>
  <c r="C119" i="9"/>
  <c r="D118" i="9"/>
  <c r="C118" i="9"/>
  <c r="D115" i="9"/>
  <c r="C115" i="9"/>
  <c r="G115" i="9" s="1"/>
  <c r="E112" i="9"/>
  <c r="C112" i="9"/>
  <c r="D112" i="9"/>
  <c r="G117" i="9" l="1"/>
  <c r="G118" i="9"/>
  <c r="G120" i="9"/>
  <c r="G116" i="9"/>
  <c r="H121" i="9"/>
  <c r="F119" i="9"/>
  <c r="F121" i="9"/>
  <c r="F118" i="9"/>
  <c r="F120" i="9"/>
  <c r="G119" i="9"/>
  <c r="F117" i="9"/>
  <c r="H119" i="9"/>
  <c r="G121" i="9"/>
  <c r="H117" i="9"/>
  <c r="F116" i="9"/>
  <c r="H118" i="9"/>
  <c r="H115" i="9"/>
  <c r="H120" i="9"/>
  <c r="H116" i="9"/>
  <c r="D36" i="9"/>
  <c r="D123" i="9" s="1"/>
  <c r="C123" i="9" s="1"/>
  <c r="F123" i="9" l="1"/>
  <c r="J11" i="1"/>
  <c r="G11" i="1"/>
  <c r="K112" i="1" l="1"/>
  <c r="K110" i="1" l="1"/>
  <c r="J6" i="1" l="1"/>
  <c r="G6" i="1"/>
  <c r="F6" i="1"/>
  <c r="G4" i="1" l="1"/>
  <c r="J4" i="1"/>
  <c r="B2" i="1" l="1"/>
  <c r="O39" i="1" l="1"/>
  <c r="N39" i="1"/>
  <c r="M39" i="1"/>
  <c r="K39" i="1"/>
  <c r="J39" i="1"/>
  <c r="H39" i="1"/>
  <c r="G39" i="1"/>
  <c r="F39" i="1" l="1"/>
  <c r="L39" i="1" s="1"/>
  <c r="O111" i="1" l="1"/>
  <c r="N111" i="1"/>
  <c r="M111" i="1"/>
  <c r="K111" i="1"/>
  <c r="J46" i="1" l="1"/>
  <c r="F46" i="1" s="1"/>
  <c r="H46" i="1"/>
  <c r="G46" i="1"/>
  <c r="O4" i="1" l="1"/>
  <c r="N4" i="1"/>
  <c r="M4" i="1"/>
  <c r="K4" i="1"/>
  <c r="L46" i="1" l="1"/>
  <c r="J111" i="1"/>
  <c r="F111" i="1" s="1"/>
  <c r="H111" i="1"/>
  <c r="G111" i="1"/>
  <c r="L111" i="1" l="1"/>
  <c r="J112" i="1"/>
  <c r="F112" i="1" s="1"/>
  <c r="H112" i="1"/>
  <c r="G112" i="1"/>
  <c r="L112" i="1" l="1"/>
  <c r="O110" i="1"/>
  <c r="N110" i="1"/>
  <c r="M110" i="1"/>
  <c r="J110" i="1"/>
  <c r="F110" i="1" s="1"/>
  <c r="H110" i="1"/>
  <c r="G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L4" i="1" l="1"/>
  <c r="O6" i="1"/>
  <c r="N6" i="1"/>
  <c r="M6" i="1"/>
  <c r="K6" i="1"/>
  <c r="L6" i="1" l="1"/>
  <c r="O11" i="1"/>
  <c r="N11" i="1"/>
  <c r="M11" i="1"/>
  <c r="K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<sst xmlns="http://schemas.openxmlformats.org/spreadsheetml/2006/main" count="1030" uniqueCount="822">
  <si>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</si>
  <si>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</si>
  <si>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</si>
  <si>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</si>
  <si>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</si>
  <si>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</si>
  <si>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</si>
  <si>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</si>
  <si>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</si>
  <si>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</si>
  <si>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</si>
  <si>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</si>
  <si>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</si>
  <si>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</si>
  <si>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</si>
  <si>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</si>
  <si>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</si>
  <si>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</si>
  <si>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</si>
  <si>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</si>
  <si>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</si>
  <si>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</si>
  <si>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</si>
  <si>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</si>
  <si>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</si>
  <si>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</si>
  <si>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</si>
  <si>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</si>
  <si>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</si>
  <si>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</si>
  <si>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</si>
  <si>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</si>
  <si>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</si>
  <si>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</si>
  <si>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</si>
  <si>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</si>
  <si>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</si>
  <si>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</si>
  <si>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</si>
  <si>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</si>
  <si>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</si>
  <si>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</si>
  <si>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</si>
  <si>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</si>
  <si>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</si>
  <si>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</si>
  <si>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</si>
  <si>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</si>
  <si>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</si>
  <si>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</si>
  <si>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</si>
  <si>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</si>
  <si>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</si>
  <si>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</si>
  <si>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</si>
  <si>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</si>
  <si>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</si>
  <si>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</si>
  <si>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</si>
  <si>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</si>
  <si>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</si>
  <si>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</si>
  <si>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</si>
  <si>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</si>
  <si>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</si>
  <si>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</si>
  <si>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</si>
  <si>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</si>
  <si>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</si>
  <si>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</si>
  <si>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</si>
  <si>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</si>
  <si>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</si>
  <si>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</si>
  <si>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</si>
  <si>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</si>
  <si>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</si>
  <si>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</si>
  <si>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</si>
  <si>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</si>
  <si>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</si>
  <si>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</si>
  <si>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</si>
  <si>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</si>
  <si>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</si>
  <si>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</si>
  <si>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</si>
  <si>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</si>
  <si>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</si>
  <si>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</si>
  <si>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</si>
  <si>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</si>
  <si>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</si>
  <si>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</si>
  <si>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</si>
  <si>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</si>
  <si>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</si>
  <si>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</si>
  <si>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</si>
  <si>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</si>
  <si>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</si>
  <si>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</si>
  <si>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</si>
  <si>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</si>
  <si>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</si>
  <si>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</si>
  <si>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</si>
  <si>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</si>
  <si>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</si>
  <si>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</si>
  <si>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</si>
  <si>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</si>
  <si>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</si>
  <si>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</si>
  <si>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</si>
  <si>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</si>
  <si>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</si>
  <si>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</si>
  <si>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</si>
  <si>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</si>
  <si>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</si>
  <si>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</si>
  <si>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</si>
  <si>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</si>
  <si>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</si>
  <si>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</si>
  <si>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</si>
  <si>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</si>
  <si>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</si>
  <si>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</si>
  <si>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</si>
  <si>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</si>
  <si>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</si>
  <si>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</si>
  <si>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</si>
  <si>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</si>
  <si>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</si>
  <si>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</si>
  <si>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</si>
  <si>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</si>
  <si>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</si>
  <si>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</si>
  <si>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</si>
  <si>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</si>
  <si>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</si>
  <si>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</si>
  <si>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</si>
  <si>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</si>
  <si>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</si>
  <si>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</si>
  <si>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</si>
  <si>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</si>
  <si>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</si>
  <si>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</si>
  <si>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</si>
  <si>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</si>
  <si>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</si>
  <si>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</si>
  <si>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</si>
  <si>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</si>
  <si>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</si>
  <si>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</si>
  <si>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</si>
  <si>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</si>
  <si>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</si>
  <si>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</si>
  <si>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</si>
  <si>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</si>
  <si>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</si>
  <si>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</si>
  <si>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</si>
  <si>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</si>
  <si>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</si>
  <si>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</si>
  <si>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</si>
  <si>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</si>
  <si>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</si>
  <si>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</si>
  <si>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</si>
  <si>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</si>
  <si>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</si>
  <si>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</si>
  <si>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</si>
  <si>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</si>
  <si>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</si>
  <si>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</si>
  <si>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</si>
  <si>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</si>
  <si>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</si>
  <si>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</si>
  <si>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</si>
  <si>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</si>
  <si>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</si>
  <si>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</si>
  <si>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</si>
  <si>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</si>
  <si>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</si>
  <si>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</si>
  <si>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</si>
  <si>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</si>
  <si>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</si>
  <si>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</si>
  <si>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</si>
  <si>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</si>
  <si>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</si>
  <si>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</si>
  <si>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</si>
  <si>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</si>
  <si>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</si>
  <si>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</si>
  <si>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</si>
  <si>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</si>
  <si>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</si>
  <si>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</si>
  <si>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</si>
  <si>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</si>
  <si>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</si>
  <si>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</si>
  <si>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</si>
  <si>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</si>
  <si>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</si>
  <si>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</si>
  <si>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</si>
  <si>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</si>
  <si>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</si>
  <si>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</si>
  <si>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</si>
  <si>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</si>
  <si>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</si>
  <si>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</si>
  <si>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</si>
  <si>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</si>
  <si>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</si>
  <si>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</si>
  <si>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</si>
  <si>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</si>
  <si>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</si>
  <si>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</si>
  <si>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</si>
  <si>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</si>
  <si>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</si>
  <si>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</si>
  <si>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</si>
  <si>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</si>
  <si>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</si>
  <si>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</si>
  <si>
    <t>NTLA</t>
  </si>
  <si>
    <t>IDYA</t>
  </si>
  <si>
    <t>CLDX</t>
  </si>
  <si>
    <t>GPCR</t>
  </si>
  <si>
    <t>IRON</t>
  </si>
  <si>
    <t xml:space="preserve">  </t>
  </si>
  <si>
    <t>AUM</t>
  </si>
  <si>
    <t>Baker Brothers</t>
  </si>
  <si>
    <t>OrbiMed</t>
  </si>
  <si>
    <t>Deerfield</t>
  </si>
  <si>
    <t>RA Capital</t>
  </si>
  <si>
    <t>Perceptive Advisors</t>
  </si>
  <si>
    <t>RTW Investments</t>
  </si>
  <si>
    <t>EcoR1 Capital</t>
  </si>
  <si>
    <t>Casdin Capital</t>
  </si>
  <si>
    <t>Soleus Capital</t>
  </si>
  <si>
    <t>BVF Partners</t>
  </si>
  <si>
    <t>Deep Track Capital</t>
  </si>
  <si>
    <t>PFM Health Sciences</t>
  </si>
  <si>
    <t>Rock Springs Capital</t>
  </si>
  <si>
    <t>Vivo Capital</t>
  </si>
  <si>
    <t>Polaris Partners</t>
  </si>
  <si>
    <t>Cormorant</t>
  </si>
  <si>
    <t>Vestal Point</t>
  </si>
  <si>
    <t>Cutter Capital</t>
  </si>
  <si>
    <t>Return/yr</t>
  </si>
  <si>
    <t>Altos Labs</t>
  </si>
  <si>
    <t>Grail</t>
  </si>
  <si>
    <t>Intarcia Therapeutics</t>
  </si>
  <si>
    <t>Abogen Biosciences</t>
  </si>
  <si>
    <t>Freenome</t>
  </si>
  <si>
    <t>ElevateBio</t>
  </si>
  <si>
    <t>Voronoi</t>
  </si>
  <si>
    <t>Xaira Therapeutics</t>
  </si>
  <si>
    <t>Boehringer Ingelheim</t>
  </si>
  <si>
    <t>Roderick Wong</t>
  </si>
  <si>
    <t>Geoffery C. Hsu</t>
  </si>
  <si>
    <t>Manager</t>
  </si>
  <si>
    <t>Keytruda</t>
  </si>
  <si>
    <t>Ozempic</t>
  </si>
  <si>
    <t>Mounjaro</t>
  </si>
  <si>
    <t>Trulicity</t>
  </si>
  <si>
    <t>Eliquis</t>
  </si>
  <si>
    <t>Humira</t>
  </si>
  <si>
    <t>Enbrel</t>
  </si>
  <si>
    <t>Remicade</t>
  </si>
  <si>
    <t>Lipitor</t>
  </si>
  <si>
    <t>Revlimid</t>
  </si>
  <si>
    <t>Rituxan/MabThera</t>
  </si>
  <si>
    <t>Comirnaty</t>
  </si>
  <si>
    <t>Avastin</t>
  </si>
  <si>
    <t>Herceptin</t>
  </si>
  <si>
    <t>Plavix</t>
  </si>
  <si>
    <t>Seretide/Advair</t>
  </si>
  <si>
    <t>Lantus</t>
  </si>
  <si>
    <t>Biktarvy</t>
  </si>
  <si>
    <t>Eylea</t>
  </si>
  <si>
    <t>Stelara</t>
  </si>
  <si>
    <t>Januvia/Janumet</t>
  </si>
  <si>
    <t>Opdivo</t>
  </si>
  <si>
    <t>Prevnar</t>
  </si>
  <si>
    <t>Harvoni</t>
  </si>
  <si>
    <t>Gardasil</t>
  </si>
  <si>
    <t>Lyrica</t>
  </si>
  <si>
    <t>Xarelto</t>
  </si>
  <si>
    <t>Dupixent</t>
  </si>
  <si>
    <t>Imbruvica</t>
  </si>
  <si>
    <t>Darzalex</t>
  </si>
  <si>
    <t>Sovaldi</t>
  </si>
  <si>
    <t>Jardiance</t>
  </si>
  <si>
    <t>Cosentyx</t>
  </si>
  <si>
    <t>Ibrance</t>
  </si>
  <si>
    <t>Skyrizi</t>
  </si>
  <si>
    <t>Xolair</t>
  </si>
  <si>
    <t>Ocrevus</t>
  </si>
  <si>
    <t>Farxiga/Forxiga</t>
  </si>
  <si>
    <t>Paxlovid</t>
  </si>
  <si>
    <t>XTANDI</t>
  </si>
  <si>
    <t>Perjeta</t>
  </si>
  <si>
    <t>Orencia</t>
  </si>
  <si>
    <t>Entresto</t>
  </si>
  <si>
    <t>Tagrisso</t>
  </si>
  <si>
    <t>Verzenio</t>
  </si>
  <si>
    <t>Imfinzi</t>
  </si>
  <si>
    <t>Trikafta/Kaftrio</t>
  </si>
  <si>
    <t>Prolia</t>
  </si>
  <si>
    <t>Hemlibra</t>
  </si>
  <si>
    <t>Rinvoq</t>
  </si>
  <si>
    <t>Tecentriq</t>
  </si>
  <si>
    <t>Vyndaqel</t>
  </si>
  <si>
    <t>Wegovy</t>
  </si>
  <si>
    <t>Tremfya</t>
  </si>
  <si>
    <t>Adalimumab</t>
  </si>
  <si>
    <t>Atorvastatin</t>
  </si>
  <si>
    <t>Pembrolizumab</t>
  </si>
  <si>
    <t>Lenalidomide</t>
  </si>
  <si>
    <t>Etanercept</t>
  </si>
  <si>
    <t>Rituximab</t>
  </si>
  <si>
    <t>Indication</t>
  </si>
  <si>
    <t>Bevacizumab</t>
  </si>
  <si>
    <t>Infliximab</t>
  </si>
  <si>
    <t>Trastuzumab</t>
  </si>
  <si>
    <t>Clopidogrel</t>
  </si>
  <si>
    <t>Apixaban</t>
  </si>
  <si>
    <t>Insulin Glargine</t>
  </si>
  <si>
    <t>Aflibercept</t>
  </si>
  <si>
    <t>Ustekinumab</t>
  </si>
  <si>
    <t>Sitagliptin</t>
  </si>
  <si>
    <t>Nivolumab</t>
  </si>
  <si>
    <t>Semaglutide</t>
  </si>
  <si>
    <t>Pneumococcal vaccine</t>
  </si>
  <si>
    <t>Pregabalin</t>
  </si>
  <si>
    <t>Rivaroxaban</t>
  </si>
  <si>
    <t>Dupilumab</t>
  </si>
  <si>
    <t>Ledipasvir/Sofosbuvir</t>
  </si>
  <si>
    <t>Ibrutinib</t>
  </si>
  <si>
    <t>Daratumumab</t>
  </si>
  <si>
    <t>Sofosbuvir</t>
  </si>
  <si>
    <t>Dulaglutide</t>
  </si>
  <si>
    <t>Secukinumab</t>
  </si>
  <si>
    <t>Palbociclib</t>
  </si>
  <si>
    <t>Risankizumab</t>
  </si>
  <si>
    <t>Omalizumab</t>
  </si>
  <si>
    <t>Ocrelizumab</t>
  </si>
  <si>
    <t>Dapagliflozin</t>
  </si>
  <si>
    <t>Enzalutamide</t>
  </si>
  <si>
    <t>Pertuzumab</t>
  </si>
  <si>
    <t>Abatecept</t>
  </si>
  <si>
    <t>Sacubitril/Valsartan</t>
  </si>
  <si>
    <t>Osimertinib</t>
  </si>
  <si>
    <t>Abemaciclib</t>
  </si>
  <si>
    <t>Durvalumab</t>
  </si>
  <si>
    <t>Denosumab</t>
  </si>
  <si>
    <t>Emicizumab</t>
  </si>
  <si>
    <t>Upadacitinib</t>
  </si>
  <si>
    <t>Atezolizumab</t>
  </si>
  <si>
    <t>Tafamidis</t>
  </si>
  <si>
    <t>Guselkumab</t>
  </si>
  <si>
    <t>Tirzepatide</t>
  </si>
  <si>
    <t>RA, Crohn's</t>
  </si>
  <si>
    <t>High cholesterol</t>
  </si>
  <si>
    <t>Various cancers</t>
  </si>
  <si>
    <t>Multiple myeloma</t>
  </si>
  <si>
    <t>Rheumatoid arthritis</t>
  </si>
  <si>
    <t>Lymphoma, leukemia</t>
  </si>
  <si>
    <t>COVID-19 prevention</t>
  </si>
  <si>
    <t>Breast cancer</t>
  </si>
  <si>
    <t>Heart attack/stroke prevention</t>
  </si>
  <si>
    <t>Anticoagulant</t>
  </si>
  <si>
    <t>Asthma, COPD</t>
  </si>
  <si>
    <t>Diabetes</t>
  </si>
  <si>
    <t>HIV infection</t>
  </si>
  <si>
    <t>Macular degeneration</t>
  </si>
  <si>
    <t>Type 2 diabetes</t>
  </si>
  <si>
    <t>Pneumonia prevention</t>
  </si>
  <si>
    <t>HPV prevention</t>
  </si>
  <si>
    <t>Neuropathic pain, epilepsy</t>
  </si>
  <si>
    <t>Atopic dermatitis, asthma</t>
  </si>
  <si>
    <t>Blood cancers</t>
  </si>
  <si>
    <t>Psoriasis</t>
  </si>
  <si>
    <t>Asthma</t>
  </si>
  <si>
    <t>Multiple sclerosis</t>
  </si>
  <si>
    <t>Diabetes, heart failure</t>
  </si>
  <si>
    <t>COVID-19 treatment</t>
  </si>
  <si>
    <t>Prostate cancer</t>
  </si>
  <si>
    <t>Heart failure</t>
  </si>
  <si>
    <t>Lung cancer</t>
  </si>
  <si>
    <t>Cystic fibrosis</t>
  </si>
  <si>
    <t>Osteoporosis</t>
  </si>
  <si>
    <t>Hemophilia A</t>
  </si>
  <si>
    <t>ATTR cardiomyopathy</t>
  </si>
  <si>
    <t>Obesity</t>
  </si>
  <si>
    <t>Total Sales</t>
  </si>
  <si>
    <t>Psoriasis, Crohn's</t>
  </si>
  <si>
    <t>(billions)</t>
  </si>
  <si>
    <t>Valuation</t>
  </si>
  <si>
    <t>Round</t>
  </si>
  <si>
    <t>Investors</t>
  </si>
  <si>
    <t>Date</t>
  </si>
  <si>
    <t>Notes</t>
  </si>
  <si>
    <t>3 drug combo</t>
  </si>
  <si>
    <t>TNF-alpha</t>
  </si>
  <si>
    <t>mab</t>
  </si>
  <si>
    <t>statin</t>
  </si>
  <si>
    <t>PD-1</t>
  </si>
  <si>
    <t>soluble receptor</t>
  </si>
  <si>
    <t>rhProtein</t>
  </si>
  <si>
    <t>Felix &amp; Julian Baker</t>
  </si>
  <si>
    <t>JNJ - finish</t>
  </si>
  <si>
    <t>MRK - rework</t>
  </si>
  <si>
    <t>GILD - rework</t>
  </si>
  <si>
    <t>LLY - finish GLP-1</t>
  </si>
  <si>
    <t>BMY - in depth main approved drugs forecast</t>
  </si>
  <si>
    <t>BNTX - finish</t>
  </si>
  <si>
    <t>SMMT - finish drug analysis and competition</t>
  </si>
  <si>
    <t>AVXL - write thesis, finish reading dois</t>
  </si>
  <si>
    <t>SRPT - finish elevidys analysis, PMO financials</t>
  </si>
  <si>
    <t>Intellia Therapeutics</t>
  </si>
  <si>
    <t>Ideaya Biosciences</t>
  </si>
  <si>
    <t>Celldex Therapeutics</t>
  </si>
  <si>
    <t>Structure Therapeutics</t>
  </si>
  <si>
    <t>Disc Medicine</t>
  </si>
  <si>
    <t>member of roche group</t>
  </si>
  <si>
    <t>Diabetes, type 2</t>
  </si>
  <si>
    <t>RA</t>
  </si>
  <si>
    <t>Hypertension</t>
  </si>
  <si>
    <t>Schizophrenia</t>
  </si>
  <si>
    <t>Breast Cancer</t>
  </si>
  <si>
    <t>NSCLC</t>
  </si>
  <si>
    <t>Influenza</t>
  </si>
  <si>
    <t>Multiple Myeloma</t>
  </si>
  <si>
    <t>Prostate Cancer</t>
  </si>
  <si>
    <t>COPD</t>
  </si>
  <si>
    <t>Revenue</t>
  </si>
  <si>
    <t>Efficacy</t>
  </si>
  <si>
    <t>Common MOAs</t>
  </si>
  <si>
    <t>Pathology</t>
  </si>
  <si>
    <t>GLP-1</t>
  </si>
  <si>
    <t>ADHD</t>
  </si>
  <si>
    <t>Pathophysiology</t>
  </si>
  <si>
    <t>Etiology</t>
  </si>
  <si>
    <t>Symptoms</t>
  </si>
  <si>
    <t>Epidemiology</t>
  </si>
  <si>
    <t>Target Validation</t>
  </si>
  <si>
    <t>Primary Endpoints</t>
  </si>
  <si>
    <t>Economics</t>
  </si>
  <si>
    <t>Unmet Need</t>
  </si>
  <si>
    <t>Prevalence</t>
  </si>
  <si>
    <t>DALY/Disease Burden Score</t>
  </si>
  <si>
    <t>Regulatory</t>
  </si>
  <si>
    <t>Biomarkers</t>
  </si>
  <si>
    <t>Ritalin</t>
  </si>
  <si>
    <t>Adderall</t>
  </si>
  <si>
    <t>methylphenidate</t>
  </si>
  <si>
    <t>Concerta</t>
  </si>
  <si>
    <t>amphetamine</t>
  </si>
  <si>
    <t>autoimmune disease?</t>
  </si>
  <si>
    <t>Top Drugs</t>
  </si>
  <si>
    <t>HCV</t>
  </si>
  <si>
    <t>Hepatitis C (HCV)</t>
  </si>
  <si>
    <t>HCV NS5B RNA polymerase</t>
  </si>
  <si>
    <t>~42m+</t>
  </si>
  <si>
    <t>Mounjaro, Ozempic</t>
  </si>
  <si>
    <t>hallucinations, delusions</t>
  </si>
  <si>
    <t>ivonsertib, Keytruda</t>
  </si>
  <si>
    <t xml:space="preserve"> </t>
  </si>
  <si>
    <t>Migraine</t>
  </si>
  <si>
    <t>Anxiety</t>
  </si>
  <si>
    <t>Bipolar</t>
  </si>
  <si>
    <t>HBV</t>
  </si>
  <si>
    <t>HIV/AIDS</t>
  </si>
  <si>
    <t>Tuberculosis</t>
  </si>
  <si>
    <t>Malaria</t>
  </si>
  <si>
    <t>Lung Cancer</t>
  </si>
  <si>
    <t>CRC</t>
  </si>
  <si>
    <t>Leukemia</t>
  </si>
  <si>
    <t>Stroke</t>
  </si>
  <si>
    <t>AD / Dementia</t>
  </si>
  <si>
    <t>Ischemic Heart Disease</t>
  </si>
  <si>
    <t>Chronic Kidney Disease</t>
  </si>
  <si>
    <t>Cardiovascular Disease</t>
  </si>
  <si>
    <t>Osteoarthritis</t>
  </si>
  <si>
    <t>Chronic Pain</t>
  </si>
  <si>
    <t>Corticosteroids</t>
  </si>
  <si>
    <t>(millions)</t>
  </si>
  <si>
    <t>Deaths/yr</t>
  </si>
  <si>
    <t>Depression</t>
  </si>
  <si>
    <t>Cancer (All Types)</t>
  </si>
  <si>
    <t>indirect</t>
  </si>
  <si>
    <t>Diabetes, type 1</t>
  </si>
  <si>
    <t>Total</t>
  </si>
  <si>
    <t>SSRI, SNRI</t>
  </si>
  <si>
    <t>part of cancer</t>
  </si>
  <si>
    <t>part of cardio</t>
  </si>
  <si>
    <t>part of diabetes</t>
  </si>
  <si>
    <t>part of liver</t>
  </si>
  <si>
    <t>IBD (Crohn's/UC)</t>
  </si>
  <si>
    <t>(millions) 2024</t>
  </si>
  <si>
    <t>(thousands)</t>
  </si>
  <si>
    <t>Cardiovascular</t>
  </si>
  <si>
    <t>Journavx, Vicodin, OxyContin, Lyrica</t>
  </si>
  <si>
    <t>Rezdiffra, Livdelzi, Sovaldi, Harvoni</t>
  </si>
  <si>
    <t>Lisinopril, Nmorvasc, Cozaar, Benicar, Tryvio</t>
  </si>
  <si>
    <t>Emgality, Aimovig, Ajovy, Vyepti, Nurtec ODT</t>
  </si>
  <si>
    <t>Ozempic, Mounjaro, Jardiance, Farxiga, Lantus</t>
  </si>
  <si>
    <t>Biktarvy, Dovato, Triumeq, Genvoya</t>
  </si>
  <si>
    <t>Keytruda, Opdivo, Yervoy, Tecentriq, Avastin</t>
  </si>
  <si>
    <t>Humira, Enbrel, Orencia, Rituxan, Actemra, Xeljanz, Rinvoq</t>
  </si>
  <si>
    <t>Lexapro, Prozac, Zoloft, Cymbalta, Wellbutrin</t>
  </si>
  <si>
    <t>Xanax, Ativan, Klonopin, Buspar</t>
  </si>
  <si>
    <t>Ablify, Risperdal, Zyprexa, Seroquel, Invega</t>
  </si>
  <si>
    <t>Adderall, Ritalin, Concerta, Vyvanse, Strattera</t>
  </si>
  <si>
    <t>Spiriva, Advair, Symbicort, Anoro Ellipta</t>
  </si>
  <si>
    <t>Advair, Symbicort, Dupixent, Xolair</t>
  </si>
  <si>
    <t>Tagrisso, Alecensa, Lobrena</t>
  </si>
  <si>
    <t>Herceptin, Perjeta, Enhertu, Ibrance, Kisqali</t>
  </si>
  <si>
    <t>Revlimid, Velcade, Darzalex, Kyprolis</t>
  </si>
  <si>
    <t>Zytiga, Xtandi, Pluvicto</t>
  </si>
  <si>
    <t>Autoimmune/Inflammatory</t>
  </si>
  <si>
    <t>Neurological</t>
  </si>
  <si>
    <t>Kisulna, Aricept, Leqembi</t>
  </si>
  <si>
    <t>Tamiflu</t>
  </si>
  <si>
    <t>Skyrizi, Stelara</t>
  </si>
  <si>
    <t>Skyrizi, Stelara, Entyvio</t>
  </si>
  <si>
    <t>NSAID/COXi, Opioid Receptor Agonists, Sodium Channel Blockers, Anticonvulsants, SNRI</t>
  </si>
  <si>
    <t>PPAR-delta, THR-beta, NS5B, NS5Ai, Nucleostide Reverse Transcriptase inhibitors</t>
  </si>
  <si>
    <t>ACEi, ARBs, Calcium Channel Blockers, Thiazide Diuretics, Beta-blockers, endothelin-1 receptor antagonists</t>
  </si>
  <si>
    <t>CGRPi, CGRP receptor antagonists, Triptans, Beta-blockers</t>
  </si>
  <si>
    <t>GLP-1/GIP, SGLT2i, Metformin, DPP-4i</t>
  </si>
  <si>
    <t>SSRI, SNRI, Tricyclic, MAOi</t>
  </si>
  <si>
    <t>Benzodiazepines, Buspirone, SSRI, Beta-blockers</t>
  </si>
  <si>
    <t>block dopamine D2 receptors and serotonin 5-HT2A receptors, partial D2 agonists</t>
  </si>
  <si>
    <t>LAMA, LABA, Corticosteroids, PDE4i</t>
  </si>
  <si>
    <t>Corticosteroids, LABA, block leukotriene receptors, Anti-IgE biologics, IL-4/IL-13i</t>
  </si>
  <si>
    <t>PD-1/PD-L1i, CTLA-4i, VEGFi, Tyrosine Kinase inhibitors, Alkylating agents, antimetabolities</t>
  </si>
  <si>
    <t>Nucleoside RTIs, non-nucleoside RTIs, Integrase inhibitors, protease inhibitors, entry/fusion inhibitors</t>
  </si>
  <si>
    <t>TNF-alpha, JAKi, IL-6 receptor antagonist, T-cell costimulation, CD20 mab, DMARD</t>
  </si>
  <si>
    <t>PD-1i, ALKi, EGFRi</t>
  </si>
  <si>
    <t>HER2i, CDK4/6i, Aromatase, Block estrogen receptors</t>
  </si>
  <si>
    <t>Preoteasome Inhibitors, Immunomodulatory Drugs, CD38 mab</t>
  </si>
  <si>
    <t>TNFi, IL-17i, IL-23i</t>
  </si>
  <si>
    <t>TNF-alpha, IL-12/IL-23i, JAKi, Integrin Antagonists</t>
  </si>
  <si>
    <t>Cell Wall Synthesis Inihibitors, Protein Synthesis I, RNA polymerase I, ATP Synthase I</t>
  </si>
  <si>
    <t>Artemisinin Compounds, Quinoline Antimalarials, Folate Synthesis I, Mitochondrial I</t>
  </si>
  <si>
    <t>Cholinesterase, NMDA antagonist, Anti-amyloid mab</t>
  </si>
  <si>
    <t>Stimulants (dopamine/norepinephrine reuptake inhibition), Alpha-2 agonists</t>
  </si>
  <si>
    <t>RAAS-Mediated Cardiovascular/Renal</t>
  </si>
  <si>
    <t>Metabolic/Endocrine Dysfunction</t>
  </si>
  <si>
    <t>Neurotransmitter Imbalance</t>
  </si>
  <si>
    <t>Oncogenic Transformation</t>
  </si>
  <si>
    <t>Viral Replication/Integration</t>
  </si>
  <si>
    <t>Pain Signal Transduction</t>
  </si>
  <si>
    <t>Airway Inflammatory/Obstructive</t>
  </si>
  <si>
    <t>Pathogen-Host Interaction</t>
  </si>
  <si>
    <t>Thrombotic/Ischemic Injury</t>
  </si>
  <si>
    <t>RAAS-Mediated Cardiovascular/Renal, Thrombotic/Ischemic Injury</t>
  </si>
  <si>
    <t>Neurodegeneration/Protein Misfolding</t>
  </si>
  <si>
    <t>Pain Signal Transduction, CGRP-Mediated Neurogenic Inflammation</t>
  </si>
  <si>
    <t>cured</t>
  </si>
  <si>
    <t>~30% slowing</t>
  </si>
  <si>
    <t>low-mild</t>
  </si>
  <si>
    <t>symptom treatment</t>
  </si>
  <si>
    <t>mild</t>
  </si>
  <si>
    <t>very effective</t>
  </si>
  <si>
    <t>Oncology</t>
  </si>
  <si>
    <t>Infectious Disease</t>
  </si>
  <si>
    <t>Pain</t>
  </si>
  <si>
    <t>Obesity/Diabetes/Liver</t>
  </si>
  <si>
    <t>rev/person</t>
  </si>
  <si>
    <t>mortality rate</t>
  </si>
  <si>
    <t>Market Share</t>
  </si>
  <si>
    <t>QALYs</t>
  </si>
  <si>
    <t>a year of someones life globally = 18,000?</t>
  </si>
  <si>
    <t xml:space="preserve">WHO Choice-Rule: max 3x GDP intervention QALY </t>
  </si>
  <si>
    <t>Keytruda ~3mo PFS over chemo alone should be ~160k/year which aligns with current pricing</t>
  </si>
  <si>
    <t>Approved</t>
  </si>
  <si>
    <t>Expiry</t>
  </si>
  <si>
    <t>Entyvio</t>
  </si>
  <si>
    <t>Lymparza</t>
  </si>
  <si>
    <t>Vabysmo</t>
  </si>
  <si>
    <t>Shingrix</t>
  </si>
  <si>
    <t>Invega Sustenna/Xeplion</t>
  </si>
  <si>
    <t>OFEV</t>
  </si>
  <si>
    <t>Pomalyst</t>
  </si>
  <si>
    <t>Rybelsus</t>
  </si>
  <si>
    <t>Sarcoidosis</t>
  </si>
  <si>
    <t>Prednisone</t>
  </si>
  <si>
    <t>corticosteroid</t>
  </si>
  <si>
    <t>Liver Disease</t>
  </si>
  <si>
    <t>Metformin</t>
  </si>
  <si>
    <t>Levothyroxine</t>
  </si>
  <si>
    <t>Lisinopril</t>
  </si>
  <si>
    <t>Amlodipine</t>
  </si>
  <si>
    <t>Metoprolol</t>
  </si>
  <si>
    <t>Albuterol</t>
  </si>
  <si>
    <t>Losartan</t>
  </si>
  <si>
    <t>Gabapentin</t>
  </si>
  <si>
    <t>Omeprazole</t>
  </si>
  <si>
    <t>Sertraline</t>
  </si>
  <si>
    <t>Rosuvastatin</t>
  </si>
  <si>
    <t>Pantoprazole</t>
  </si>
  <si>
    <t>Escitalopram</t>
  </si>
  <si>
    <t>Dextroamphetamine</t>
  </si>
  <si>
    <t>Hydrochlorothiazide</t>
  </si>
  <si>
    <t>Bupropion</t>
  </si>
  <si>
    <t>Fluoxetine</t>
  </si>
  <si>
    <t>Montelukast</t>
  </si>
  <si>
    <t>Trazodone</t>
  </si>
  <si>
    <t>Simvastatin</t>
  </si>
  <si>
    <t>Amoxicillin</t>
  </si>
  <si>
    <t>Tamsulosin</t>
  </si>
  <si>
    <t>Acetaminophen, Hydrocodone</t>
  </si>
  <si>
    <t>Fluticasone</t>
  </si>
  <si>
    <t>Furosemide</t>
  </si>
  <si>
    <t>Duloxetine</t>
  </si>
  <si>
    <t>Ibuprofen</t>
  </si>
  <si>
    <t>Famotidine</t>
  </si>
  <si>
    <t>Empagliflozin</t>
  </si>
  <si>
    <t>Carvedilol</t>
  </si>
  <si>
    <t>Tramadol</t>
  </si>
  <si>
    <t>Alprazolam</t>
  </si>
  <si>
    <t>Hydroxyzine</t>
  </si>
  <si>
    <t>Buspirone</t>
  </si>
  <si>
    <t>Glipizide</t>
  </si>
  <si>
    <t>Citalopram</t>
  </si>
  <si>
    <t>Potassium Chloride</t>
  </si>
  <si>
    <t>Allopurinol</t>
  </si>
  <si>
    <t>Aspirin</t>
  </si>
  <si>
    <t>Cyclobenzaprine</t>
  </si>
  <si>
    <t>Ergocalciferol</t>
  </si>
  <si>
    <t>Oxycodone</t>
  </si>
  <si>
    <t>Venlafaxine</t>
  </si>
  <si>
    <t>Spironolactone</t>
  </si>
  <si>
    <t>Ondansetron</t>
  </si>
  <si>
    <t>Zolpidem</t>
  </si>
  <si>
    <t>Cetirizine</t>
  </si>
  <si>
    <t>Estradiol</t>
  </si>
  <si>
    <t>Pravastatin</t>
  </si>
  <si>
    <t>Hydrochlorothiazide; Lisinopril</t>
  </si>
  <si>
    <t>Lamotrigine</t>
  </si>
  <si>
    <t>Quetiapine</t>
  </si>
  <si>
    <t>Fluticasone; Salmeterol</t>
  </si>
  <si>
    <t>Clonazepam</t>
  </si>
  <si>
    <t>Azithromycin</t>
  </si>
  <si>
    <t>Latanoprost</t>
  </si>
  <si>
    <t>Cholecalciferol</t>
  </si>
  <si>
    <t>Propanolol</t>
  </si>
  <si>
    <t>Ezetimibe</t>
  </si>
  <si>
    <t>Finasteride</t>
  </si>
  <si>
    <t>ACEi</t>
  </si>
  <si>
    <t>aTyr Pharma</t>
  </si>
  <si>
    <t>ATYR</t>
  </si>
  <si>
    <t>Literature</t>
  </si>
  <si>
    <t>https://pmc.ncbi.nlm.nih.gov/articles/PMC10173933/</t>
  </si>
  <si>
    <t>Overall success rate of clinical trials is ~8%</t>
  </si>
  <si>
    <t>"Johnson noted that approximately 80% of clinical trials do not meet the initial enrollment goals and timelines, and these delays result in a loss of $8 million in revenue per day for drug discovery companies"</t>
  </si>
  <si>
    <t>Clinical Trial Success Factors</t>
  </si>
  <si>
    <t>Quality</t>
  </si>
  <si>
    <t>Speed</t>
  </si>
  <si>
    <t>Relationship</t>
  </si>
  <si>
    <t>Communication</t>
  </si>
  <si>
    <t>Other</t>
  </si>
  <si>
    <t>Strength of Phase 2 data</t>
  </si>
  <si>
    <t>Sponsors previous experience</t>
  </si>
  <si>
    <t>Average 7.6 years for clinical trials</t>
  </si>
  <si>
    <t>Cost of clinical trials</t>
  </si>
  <si>
    <t>1970-2000</t>
  </si>
  <si>
    <t>2000-2015</t>
  </si>
  <si>
    <t>2015-2025</t>
  </si>
  <si>
    <t>est.</t>
  </si>
  <si>
    <t>ATYR - finish</t>
  </si>
  <si>
    <t>NTLA - finish</t>
  </si>
  <si>
    <t>Head &amp; Neck Cancer</t>
  </si>
  <si>
    <t>Ovarian Cancer</t>
  </si>
  <si>
    <t>AML</t>
  </si>
  <si>
    <t>NHL</t>
  </si>
  <si>
    <t>Gastric Cancer</t>
  </si>
  <si>
    <t>COVID-19</t>
  </si>
  <si>
    <t>Esophageal Cancer</t>
  </si>
  <si>
    <t>MDS</t>
  </si>
  <si>
    <t>Sarcoma</t>
  </si>
  <si>
    <t>Hyperlipidemia</t>
  </si>
  <si>
    <t>Dry Eye</t>
  </si>
  <si>
    <t>GBM</t>
  </si>
  <si>
    <t>Liver Cancer</t>
  </si>
  <si>
    <t>PD</t>
  </si>
  <si>
    <t>ITP</t>
  </si>
  <si>
    <t>NASH</t>
  </si>
  <si>
    <t>Bladder Cancer</t>
  </si>
  <si>
    <t>Optic Neuritis</t>
  </si>
  <si>
    <t>Myasthenia Gravis</t>
  </si>
  <si>
    <t>AMD</t>
  </si>
  <si>
    <t>MS</t>
  </si>
  <si>
    <t>Hodgkin's Disease</t>
  </si>
  <si>
    <t>Renal Cancer</t>
  </si>
  <si>
    <t>Dermatitis</t>
  </si>
  <si>
    <t>Campylobacter Enteritis</t>
  </si>
  <si>
    <t>CF</t>
  </si>
  <si>
    <t>Retinis Pigmentosa</t>
  </si>
  <si>
    <t>CLL</t>
  </si>
  <si>
    <t>ALL</t>
  </si>
  <si>
    <t>Glioma</t>
  </si>
  <si>
    <t>Heart Failure</t>
  </si>
  <si>
    <t>Grave's Disease</t>
  </si>
  <si>
    <t>PV</t>
  </si>
  <si>
    <t>Pulmonary Fibrosis</t>
  </si>
  <si>
    <t>Neuropathy</t>
  </si>
  <si>
    <t>ALS</t>
  </si>
  <si>
    <t>Epilepsy</t>
  </si>
  <si>
    <t>Cervical Cancer</t>
  </si>
  <si>
    <t>Brain Cancer</t>
  </si>
  <si>
    <t>Glaucoma</t>
  </si>
  <si>
    <t>GvHD</t>
  </si>
  <si>
    <t>Macular Edema</t>
  </si>
  <si>
    <t>Addiction</t>
  </si>
  <si>
    <t>Biliary Cancer</t>
  </si>
  <si>
    <t>Dermal Ulcers</t>
  </si>
  <si>
    <t>Uterine Cancer</t>
  </si>
  <si>
    <t>NAFLD</t>
  </si>
  <si>
    <t>Diabetic Retinopathy</t>
  </si>
  <si>
    <t>Gram-negative Bacterial Infection</t>
  </si>
  <si>
    <t>Skin Cancer</t>
  </si>
  <si>
    <t>Liver Fibrosis</t>
  </si>
  <si>
    <t>Diabetic Nephropathy</t>
  </si>
  <si>
    <t>Cirrhosis</t>
  </si>
  <si>
    <t>Pompe's Disease</t>
  </si>
  <si>
    <t>DMD</t>
  </si>
  <si>
    <t>MI</t>
  </si>
  <si>
    <t>RSV</t>
  </si>
  <si>
    <t>Acute Kidney Injury</t>
  </si>
  <si>
    <t>RDS</t>
  </si>
  <si>
    <t>PBC</t>
  </si>
  <si>
    <t>HPV</t>
  </si>
  <si>
    <t>Scleroderma</t>
  </si>
  <si>
    <t>HD</t>
  </si>
  <si>
    <t>Uveitis</t>
  </si>
  <si>
    <t>Guillain-Barre Syndrome</t>
  </si>
  <si>
    <t>Ebola</t>
  </si>
  <si>
    <t>part of leukemia</t>
  </si>
  <si>
    <t>part of cardiovascular</t>
  </si>
  <si>
    <t>part of brain cancer</t>
  </si>
  <si>
    <t>low</t>
  </si>
  <si>
    <t>part of liver disease</t>
  </si>
  <si>
    <t>leading cause of blindness</t>
  </si>
  <si>
    <t>high</t>
  </si>
  <si>
    <t>MPDs</t>
  </si>
  <si>
    <t>part of liver cancer</t>
  </si>
  <si>
    <t>median survival 30 years</t>
  </si>
  <si>
    <t>leading cause of death</t>
  </si>
  <si>
    <t>progressive</t>
  </si>
  <si>
    <t>Q424</t>
  </si>
  <si>
    <t>OS most important, PFS very important and other surrogate endpoints,</t>
  </si>
  <si>
    <t>FDA Guidelines</t>
  </si>
  <si>
    <t>Statistical Tests</t>
  </si>
  <si>
    <t xml:space="preserve">log-rank test PFS, fisher's exact or chi-square test ORR, </t>
  </si>
  <si>
    <t>t-test ADAS-Cog</t>
  </si>
  <si>
    <t>PubMed</t>
  </si>
  <si>
    <t>PubPeer</t>
  </si>
  <si>
    <t>PubChem</t>
  </si>
  <si>
    <t>Drugs@FDA</t>
  </si>
  <si>
    <t>approved small molecules NDA</t>
  </si>
  <si>
    <t>FDA Purplebook</t>
  </si>
  <si>
    <t>approved biologics BLA</t>
  </si>
  <si>
    <t>ClinicalTrials.gov</t>
  </si>
  <si>
    <t>Drugbank</t>
  </si>
  <si>
    <t>Drug database</t>
  </si>
  <si>
    <t>ProteinAtlas</t>
  </si>
  <si>
    <t>Protein database</t>
  </si>
  <si>
    <t>MalaCards</t>
  </si>
  <si>
    <t>Disease database</t>
  </si>
  <si>
    <t>bioRxiv</t>
  </si>
  <si>
    <t>preprints</t>
  </si>
  <si>
    <t>DepMap</t>
  </si>
  <si>
    <t>cancer vulnerability database</t>
  </si>
  <si>
    <t>Gene Expression Omnibus</t>
  </si>
  <si>
    <t>genomics database</t>
  </si>
  <si>
    <t>Tool</t>
  </si>
  <si>
    <t>t-test calculator</t>
  </si>
  <si>
    <t>AXSM</t>
  </si>
  <si>
    <t>ZLAB</t>
  </si>
  <si>
    <t>NKTR</t>
  </si>
  <si>
    <t>Q1</t>
  </si>
  <si>
    <t>Q2</t>
  </si>
  <si>
    <t>Q3</t>
  </si>
  <si>
    <t>Q4</t>
  </si>
  <si>
    <t>Y1</t>
  </si>
  <si>
    <t>Y2</t>
  </si>
  <si>
    <t>Y3</t>
  </si>
  <si>
    <t>Y4</t>
  </si>
  <si>
    <t>Q5</t>
  </si>
  <si>
    <t>Q6</t>
  </si>
  <si>
    <t>Q7</t>
  </si>
  <si>
    <t>Q8</t>
  </si>
  <si>
    <t>Zepbound</t>
  </si>
  <si>
    <t>USA HHS VSLY 500k</t>
  </si>
  <si>
    <t>https://aspe.hhs.gov/sites/default/files/documents/cd2a1348ea0777b1aa918089e4965b8c/standard-ria-values.pdf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</si>
</sst>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38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Documents\models\ATYR.xlsx" TargetMode="External"/><Relationship Id="rId1" Type="http://schemas.openxmlformats.org/officeDocument/2006/relationships/externalLinkPath" Target="ATY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JNJ.xlsx" TargetMode="External"/><Relationship Id="rId1" Type="http://schemas.openxmlformats.org/officeDocument/2006/relationships/externalLinkPath" Target="JNJ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MT.xlsx" TargetMode="External"/><Relationship Id="rId1" Type="http://schemas.openxmlformats.org/officeDocument/2006/relationships/externalLinkPath" Target="SMM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Literature"/>
      <sheetName val="GLP-1s"/>
      <sheetName val="Obesity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/>
      <sheetData sheetId="1"/>
      <sheetData sheetId="2"/>
      <sheetData sheetId="3">
        <row r="3">
          <cell r="L3">
            <v>898</v>
          </cell>
        </row>
        <row r="5">
          <cell r="L5">
            <v>3546</v>
          </cell>
        </row>
        <row r="6">
          <cell r="L6">
            <v>46862</v>
          </cell>
        </row>
        <row r="7">
          <cell r="L7">
            <v>671916</v>
          </cell>
        </row>
      </sheetData>
      <sheetData sheetId="4">
        <row r="32">
          <cell r="AI32">
            <v>0.02</v>
          </cell>
        </row>
        <row r="33">
          <cell r="AI33">
            <v>-0.01</v>
          </cell>
        </row>
        <row r="34">
          <cell r="AI34">
            <v>7.0000000000000007E-2</v>
          </cell>
        </row>
        <row r="35">
          <cell r="AI35">
            <v>815642.43678764242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  <sheetName val="exondys"/>
      <sheetName val="vyondys"/>
      <sheetName val="amondys"/>
      <sheetName val="SRP-9003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3356.5540000000001</v>
          </cell>
        </row>
      </sheetData>
      <sheetData sheetId="1">
        <row r="17">
          <cell r="X17">
            <v>0.02</v>
          </cell>
        </row>
        <row r="18">
          <cell r="X18">
            <v>-0.01</v>
          </cell>
        </row>
        <row r="19">
          <cell r="X19">
            <v>0.08</v>
          </cell>
        </row>
        <row r="20">
          <cell r="X20">
            <v>4891.1877390474529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Sarcoidosis"/>
      <sheetName val="NRP2"/>
      <sheetName val="Efzofitimod"/>
    </sheetNames>
    <sheetDataSet>
      <sheetData sheetId="0">
        <row r="3">
          <cell r="P3">
            <v>89</v>
          </cell>
        </row>
        <row r="5">
          <cell r="P5">
            <v>76.36</v>
          </cell>
        </row>
        <row r="6">
          <cell r="P6">
            <v>11.7</v>
          </cell>
        </row>
        <row r="7">
          <cell r="P7">
            <v>407.03999999999996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remicade"/>
      <sheetName val="darzalex"/>
      <sheetName val="stelara"/>
    </sheetNames>
    <sheetDataSet>
      <sheetData sheetId="0">
        <row r="3">
          <cell r="L3">
            <v>2408.3388</v>
          </cell>
        </row>
        <row r="5">
          <cell r="L5">
            <v>18880</v>
          </cell>
        </row>
        <row r="6">
          <cell r="L6">
            <v>61999</v>
          </cell>
        </row>
        <row r="7">
          <cell r="L7">
            <v>476619.984</v>
          </cell>
        </row>
      </sheetData>
      <sheetData sheetId="1">
        <row r="39">
          <cell r="AI39">
            <v>0.02</v>
          </cell>
        </row>
        <row r="40">
          <cell r="AI40">
            <v>-0.01</v>
          </cell>
        </row>
        <row r="41">
          <cell r="AI41">
            <v>7.0000000000000007E-2</v>
          </cell>
        </row>
        <row r="42">
          <cell r="AI42">
            <v>440746.86662088806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L3">
            <v>1766.4</v>
          </cell>
        </row>
        <row r="4">
          <cell r="L4">
            <v>344448</v>
          </cell>
        </row>
        <row r="5">
          <cell r="L5">
            <v>5176</v>
          </cell>
        </row>
        <row r="6">
          <cell r="L6">
            <v>72471</v>
          </cell>
        </row>
        <row r="7">
          <cell r="L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425010.79809717945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Keytruda"/>
    </sheetNames>
    <sheetDataSet>
      <sheetData sheetId="0">
        <row r="3">
          <cell r="L3">
            <v>2511.0309999999999</v>
          </cell>
        </row>
        <row r="5">
          <cell r="L5">
            <v>9228</v>
          </cell>
        </row>
        <row r="6">
          <cell r="L6">
            <v>41548</v>
          </cell>
        </row>
        <row r="7">
          <cell r="L7">
            <v>245757.63500000001</v>
          </cell>
        </row>
      </sheetData>
      <sheetData sheetId="1">
        <row r="34">
          <cell r="AA34">
            <v>0.02</v>
          </cell>
        </row>
        <row r="35">
          <cell r="AA35">
            <v>-0.01</v>
          </cell>
        </row>
        <row r="36">
          <cell r="AA36">
            <v>7.0000000000000007E-2</v>
          </cell>
        </row>
        <row r="37">
          <cell r="AA37">
            <v>272028.55347452633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7.0000000000000007E-2</v>
          </cell>
        </row>
        <row r="92">
          <cell r="AA92">
            <v>170422.41718793675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BNT327"/>
    </sheetNames>
    <sheetDataSet>
      <sheetData sheetId="0">
        <row r="3">
          <cell r="K3">
            <v>248</v>
          </cell>
        </row>
        <row r="5">
          <cell r="K5">
            <v>12096.864</v>
          </cell>
        </row>
        <row r="6">
          <cell r="K6">
            <v>0</v>
          </cell>
        </row>
        <row r="7">
          <cell r="K7">
            <v>15815.535999999998</v>
          </cell>
        </row>
      </sheetData>
      <sheetData sheetId="1">
        <row r="15">
          <cell r="V15">
            <v>0.02</v>
          </cell>
        </row>
        <row r="16">
          <cell r="V16">
            <v>-0.01</v>
          </cell>
        </row>
        <row r="17">
          <cell r="V17">
            <v>0.08</v>
          </cell>
        </row>
        <row r="18">
          <cell r="V18">
            <v>27086.288535542022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Ivonescimab"/>
      <sheetName val="NSCLC"/>
      <sheetName val="Drugs"/>
    </sheetNames>
    <sheetDataSet>
      <sheetData sheetId="0">
        <row r="3">
          <cell r="K3">
            <v>742.84670000000006</v>
          </cell>
        </row>
        <row r="5">
          <cell r="K5">
            <v>298</v>
          </cell>
        </row>
        <row r="6">
          <cell r="K6">
            <v>0</v>
          </cell>
        </row>
        <row r="7">
          <cell r="K7">
            <v>19536.006890000001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13" Type="http://schemas.openxmlformats.org/officeDocument/2006/relationships/hyperlink" Target="ATYR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12" Type="http://schemas.openxmlformats.org/officeDocument/2006/relationships/hyperlink" Target="NTLA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11" Type="http://schemas.openxmlformats.org/officeDocument/2006/relationships/hyperlink" Target="JNJ.xlsx" TargetMode="External"/><Relationship Id="rId5" Type="http://schemas.openxmlformats.org/officeDocument/2006/relationships/hyperlink" Target="MRK.xlsx" TargetMode="External"/><Relationship Id="rId10" Type="http://schemas.openxmlformats.org/officeDocument/2006/relationships/hyperlink" Target="BNTX.xlsx" TargetMode="External"/><Relationship Id="rId4" Type="http://schemas.openxmlformats.org/officeDocument/2006/relationships/hyperlink" Target="BMY.xlsx" TargetMode="External"/><Relationship Id="rId9" Type="http://schemas.openxmlformats.org/officeDocument/2006/relationships/hyperlink" Target="SMMT.xlsx" TargetMode="External"/><Relationship Id="rId14" Type="http://schemas.openxmlformats.org/officeDocument/2006/relationships/hyperlink" Target="ABVX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da.gov/regulatory-information/search-fda-guidance-documents/clinical-trial-endpoints-approval-cancer-drugs-and-biologic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rugbank.com/" TargetMode="External"/><Relationship Id="rId13" Type="http://schemas.openxmlformats.org/officeDocument/2006/relationships/hyperlink" Target="https://www.graphpad.com/quickcalcs/ttest1/" TargetMode="External"/><Relationship Id="rId3" Type="http://schemas.openxmlformats.org/officeDocument/2006/relationships/hyperlink" Target="https://pubchem.ncbi.nlm.nih.gov/" TargetMode="External"/><Relationship Id="rId7" Type="http://schemas.openxmlformats.org/officeDocument/2006/relationships/hyperlink" Target="https://www.proteinatlas.org/" TargetMode="External"/><Relationship Id="rId12" Type="http://schemas.openxmlformats.org/officeDocument/2006/relationships/hyperlink" Target="https://www.ncbi.nlm.nih.gov/geo/" TargetMode="External"/><Relationship Id="rId2" Type="http://schemas.openxmlformats.org/officeDocument/2006/relationships/hyperlink" Target="https://pubpeer.com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clinicaltrials.gov/" TargetMode="External"/><Relationship Id="rId11" Type="http://schemas.openxmlformats.org/officeDocument/2006/relationships/hyperlink" Target="https://depmap.org/" TargetMode="External"/><Relationship Id="rId5" Type="http://schemas.openxmlformats.org/officeDocument/2006/relationships/hyperlink" Target="https://purplebooksearch.fda.gov/" TargetMode="External"/><Relationship Id="rId10" Type="http://schemas.openxmlformats.org/officeDocument/2006/relationships/hyperlink" Target="https://www.biorxiv.org/" TargetMode="External"/><Relationship Id="rId4" Type="http://schemas.openxmlformats.org/officeDocument/2006/relationships/hyperlink" Target="https://www.accessdata.fda.gov/scripts/cder/daf/index.cfm" TargetMode="External"/><Relationship Id="rId9" Type="http://schemas.openxmlformats.org/officeDocument/2006/relationships/hyperlink" Target="https://www.malacard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Q131"/>
  <sheetViews>
    <sheetView zoomScale="145" zoomScaleNormal="145" workbookViewId="0">
      <pane xSplit="3" ySplit="3" topLeftCell="D111" activePane="bottomRight" state="frozen"/>
      <selection pane="topRight" activeCell="F1" sqref="F1"/>
      <selection pane="bottomLeft" activeCell="A4" sqref="A4"/>
      <selection pane="bottomRight" activeCell="C119" sqref="C119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RANDBETWEEN(1,B113)</f>
        <v>90</v>
      </c>
      <c r="F2" s="2">
        <f>SUM(F4:F1048576)</f>
        <v>1979834.1444999997</v>
      </c>
      <c r="L2" s="3">
        <f>AVERAGE(L4:L1048576)</f>
        <v>-6.4336055228236169E-2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615130</v>
      </c>
      <c r="G4" s="2">
        <f>[1]Main!$L$5-[1]Main!$L$6</f>
        <v>-43316</v>
      </c>
      <c r="H4" s="2">
        <f>[1]Main!$L$7</f>
        <v>671916</v>
      </c>
      <c r="I4" t="s">
        <v>243</v>
      </c>
      <c r="J4" s="2">
        <f>[1]Main!$L$3</f>
        <v>898</v>
      </c>
      <c r="K4" s="2">
        <f>[1]Model!$AI$35</f>
        <v>815642.43678764242</v>
      </c>
      <c r="L4" s="3">
        <f>(K4/J4)/E4-1</f>
        <v>0.32596757886567462</v>
      </c>
      <c r="M4" s="3">
        <f>[1]Model!$AI$32</f>
        <v>0.02</v>
      </c>
      <c r="N4" s="3">
        <f>[1]Model!$AI$33</f>
        <v>-0.01</v>
      </c>
      <c r="O4" s="3">
        <f>[1]Model!$AI$34</f>
        <v>7.0000000000000007E-2</v>
      </c>
      <c r="P4" s="8">
        <v>1876</v>
      </c>
    </row>
    <row r="5" spans="2:16" x14ac:dyDescent="0.2">
      <c r="B5">
        <f>B4+1</f>
        <v>2</v>
      </c>
      <c r="C5" s="1" t="s">
        <v>26</v>
      </c>
      <c r="D5" t="s">
        <v>113</v>
      </c>
      <c r="E5" s="4">
        <v>180</v>
      </c>
      <c r="F5" s="2">
        <f>E5*J5</f>
        <v>433500.984</v>
      </c>
      <c r="G5" s="2">
        <f>[2]Main!$L$5-[2]Main!$L$6</f>
        <v>-43119</v>
      </c>
      <c r="H5" s="2">
        <f>[2]Main!$L$7</f>
        <v>476619.984</v>
      </c>
      <c r="I5" t="s">
        <v>243</v>
      </c>
      <c r="J5" s="2">
        <f>[2]Main!$L$3</f>
        <v>2408.3388</v>
      </c>
      <c r="K5" s="2">
        <f>[2]Model!$AI$42</f>
        <v>440746.86662088806</v>
      </c>
      <c r="L5" s="3">
        <f>(K5/J5)/E5-1</f>
        <v>1.6714800861647117E-2</v>
      </c>
      <c r="M5" s="3">
        <f>[2]Model!$AI$39</f>
        <v>0.02</v>
      </c>
      <c r="N5" s="3">
        <f>[2]Model!$AI$40</f>
        <v>-0.01</v>
      </c>
      <c r="O5" s="3">
        <f>[2]Model!$AI$41</f>
        <v>7.0000000000000007E-2</v>
      </c>
      <c r="P5">
        <v>1886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[3]Main!$L$4</f>
        <v>344448</v>
      </c>
      <c r="G6" s="2">
        <f>[3]Main!$L$5-[3]Main!$L$6</f>
        <v>-67295</v>
      </c>
      <c r="H6" s="2">
        <f>[3]Main!$L$7</f>
        <v>411743</v>
      </c>
      <c r="I6" t="s">
        <v>240</v>
      </c>
      <c r="J6" s="2">
        <f>[3]Main!$L$3</f>
        <v>1766.4</v>
      </c>
      <c r="K6" s="2">
        <f>[3]Model!$AC$41</f>
        <v>425010.79809717945</v>
      </c>
      <c r="L6" s="3">
        <f>(K6/J6)/E6-1</f>
        <v>0.23388958013162919</v>
      </c>
      <c r="M6" s="3">
        <f>[3]Model!$AC$38</f>
        <v>0.02</v>
      </c>
      <c r="N6" s="3">
        <f>[3]Model!$AC$39</f>
        <v>-0.01</v>
      </c>
      <c r="O6" s="3">
        <f>[3]Model!$AC$40</f>
        <v>7.0000000000000007E-2</v>
      </c>
      <c r="P6">
        <v>2012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85</v>
      </c>
      <c r="F11" s="2">
        <f>E11*J11</f>
        <v>213437.63500000001</v>
      </c>
      <c r="G11" s="2">
        <f>[4]Main!$L$5-[4]Main!$L$6</f>
        <v>-32320</v>
      </c>
      <c r="H11" s="2">
        <f>[4]Main!$L$7</f>
        <v>245757.63500000001</v>
      </c>
      <c r="I11" t="s">
        <v>240</v>
      </c>
      <c r="J11" s="2">
        <f>[4]Main!$L$3</f>
        <v>2511.0309999999999</v>
      </c>
      <c r="K11" s="2">
        <f>[4]Model!$AA$37</f>
        <v>272028.55347452633</v>
      </c>
      <c r="L11" s="3">
        <f>(K11/J11)/E11-1</f>
        <v>0.27451071819890771</v>
      </c>
      <c r="M11" s="3">
        <f>[4]Model!$AA$34</f>
        <v>0.02</v>
      </c>
      <c r="N11" s="3">
        <f>[4]Model!$AA$35</f>
        <v>-0.01</v>
      </c>
      <c r="O11" s="3">
        <f>[4]Model!$AA$36</f>
        <v>7.0000000000000007E-2</v>
      </c>
      <c r="P11">
        <v>1668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[5]Main!$M$5-[5]Main!$M$6</f>
        <v>-17085</v>
      </c>
      <c r="H15" s="2">
        <f>[5]Main!$M$7</f>
        <v>157648.97700000001</v>
      </c>
      <c r="I15" t="s">
        <v>240</v>
      </c>
      <c r="J15" s="2">
        <f>[5]Main!$M$3</f>
        <v>1243.9290000000001</v>
      </c>
      <c r="K15" s="2">
        <f>[5]Model!$AA$92</f>
        <v>170422.41718793675</v>
      </c>
      <c r="L15" s="3">
        <f>(K15/J15)/E15-1</f>
        <v>0.21241886310556479</v>
      </c>
      <c r="M15" s="3">
        <f>[5]Model!$AA$89</f>
        <v>0.02</v>
      </c>
      <c r="N15" s="3">
        <f>[5]Model!$AA$90</f>
        <v>-0.01</v>
      </c>
      <c r="O15" s="3">
        <f>[5]Model!$AA$91</f>
        <v>7.0000000000000007E-2</v>
      </c>
      <c r="P15">
        <v>1987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7" x14ac:dyDescent="0.2">
      <c r="B17">
        <f t="shared" si="0"/>
        <v>14</v>
      </c>
      <c r="C17" t="s">
        <v>42</v>
      </c>
      <c r="D17" t="s">
        <v>110</v>
      </c>
    </row>
    <row r="18" spans="2:17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[6]Main!$L$5-[6]Main!$L$6</f>
        <v>-39128</v>
      </c>
      <c r="H18" s="2">
        <f>[6]Main!$L$7</f>
        <v>128671.51999999999</v>
      </c>
      <c r="I18" t="s">
        <v>240</v>
      </c>
      <c r="J18" s="2">
        <f>[6]Main!$L$3</f>
        <v>2035.08</v>
      </c>
      <c r="K18" s="2">
        <f>[6]Model!$Y$48</f>
        <v>104952.78625217403</v>
      </c>
      <c r="L18" s="3">
        <f>(K18/J18)/E18-1</f>
        <v>0.17208689419596235</v>
      </c>
      <c r="M18" s="3">
        <f>[6]Model!$Y$45</f>
        <v>0.02</v>
      </c>
      <c r="N18" s="3">
        <f>[6]Model!$Y$46</f>
        <v>-0.01</v>
      </c>
      <c r="O18" s="3">
        <f>[6]Model!$Y$47</f>
        <v>0.08</v>
      </c>
      <c r="P18">
        <v>1887</v>
      </c>
    </row>
    <row r="19" spans="2:17" x14ac:dyDescent="0.2">
      <c r="B19">
        <f t="shared" si="0"/>
        <v>16</v>
      </c>
      <c r="C19" t="s">
        <v>37</v>
      </c>
      <c r="D19" t="s">
        <v>124</v>
      </c>
    </row>
    <row r="20" spans="2:17" x14ac:dyDescent="0.2">
      <c r="B20">
        <f t="shared" si="0"/>
        <v>17</v>
      </c>
      <c r="C20" t="s">
        <v>41</v>
      </c>
      <c r="D20" t="s">
        <v>125</v>
      </c>
      <c r="F20" s="2">
        <v>72000</v>
      </c>
      <c r="Q20" t="s">
        <v>448</v>
      </c>
    </row>
    <row r="21" spans="2:17" x14ac:dyDescent="0.2">
      <c r="B21">
        <f t="shared" si="0"/>
        <v>18</v>
      </c>
      <c r="C21" t="s">
        <v>38</v>
      </c>
      <c r="D21" t="s">
        <v>126</v>
      </c>
    </row>
    <row r="22" spans="2:17" x14ac:dyDescent="0.2">
      <c r="B22">
        <f t="shared" si="0"/>
        <v>19</v>
      </c>
      <c r="C22" t="s">
        <v>39</v>
      </c>
      <c r="D22" t="s">
        <v>127</v>
      </c>
    </row>
    <row r="23" spans="2:17" x14ac:dyDescent="0.2">
      <c r="B23">
        <f t="shared" si="0"/>
        <v>20</v>
      </c>
      <c r="C23" t="s">
        <v>40</v>
      </c>
      <c r="D23" t="s">
        <v>109</v>
      </c>
    </row>
    <row r="24" spans="2:17" x14ac:dyDescent="0.2">
      <c r="B24">
        <f t="shared" si="0"/>
        <v>21</v>
      </c>
      <c r="C24" t="s">
        <v>45</v>
      </c>
      <c r="D24" t="s">
        <v>128</v>
      </c>
    </row>
    <row r="25" spans="2:17" x14ac:dyDescent="0.2">
      <c r="B25">
        <f t="shared" si="0"/>
        <v>22</v>
      </c>
      <c r="C25" t="s">
        <v>46</v>
      </c>
      <c r="D25" t="s">
        <v>129</v>
      </c>
    </row>
    <row r="26" spans="2:17" x14ac:dyDescent="0.2">
      <c r="B26">
        <f t="shared" si="0"/>
        <v>23</v>
      </c>
      <c r="C26" t="s">
        <v>47</v>
      </c>
      <c r="D26" t="s">
        <v>130</v>
      </c>
    </row>
    <row r="27" spans="2:17" x14ac:dyDescent="0.2">
      <c r="B27">
        <f t="shared" si="0"/>
        <v>24</v>
      </c>
      <c r="C27" t="s">
        <v>48</v>
      </c>
      <c r="D27" t="s">
        <v>131</v>
      </c>
    </row>
    <row r="28" spans="2:17" x14ac:dyDescent="0.2">
      <c r="B28">
        <f t="shared" si="0"/>
        <v>25</v>
      </c>
      <c r="C28" t="s">
        <v>49</v>
      </c>
      <c r="D28" t="s">
        <v>132</v>
      </c>
    </row>
    <row r="29" spans="2:17" x14ac:dyDescent="0.2">
      <c r="B29">
        <f t="shared" si="0"/>
        <v>26</v>
      </c>
      <c r="C29" t="s">
        <v>50</v>
      </c>
      <c r="D29" t="s">
        <v>133</v>
      </c>
    </row>
    <row r="30" spans="2:17" x14ac:dyDescent="0.2">
      <c r="B30">
        <f t="shared" si="0"/>
        <v>27</v>
      </c>
      <c r="C30" t="s">
        <v>51</v>
      </c>
      <c r="D30" t="s">
        <v>139</v>
      </c>
    </row>
    <row r="31" spans="2:17" x14ac:dyDescent="0.2">
      <c r="B31">
        <f t="shared" si="0"/>
        <v>28</v>
      </c>
      <c r="C31" t="s">
        <v>52</v>
      </c>
      <c r="D31" t="s">
        <v>134</v>
      </c>
    </row>
    <row r="32" spans="2:17" x14ac:dyDescent="0.2">
      <c r="B32">
        <f t="shared" si="0"/>
        <v>29</v>
      </c>
      <c r="C32" t="s">
        <v>53</v>
      </c>
      <c r="D32" t="s">
        <v>135</v>
      </c>
    </row>
    <row r="33" spans="2:16" x14ac:dyDescent="0.2">
      <c r="B33">
        <f t="shared" si="0"/>
        <v>30</v>
      </c>
      <c r="C33" t="s">
        <v>54</v>
      </c>
      <c r="D33" t="s">
        <v>136</v>
      </c>
    </row>
    <row r="34" spans="2:16" x14ac:dyDescent="0.2">
      <c r="B34">
        <f t="shared" si="0"/>
        <v>31</v>
      </c>
      <c r="C34" t="s">
        <v>55</v>
      </c>
      <c r="D34" t="s">
        <v>137</v>
      </c>
    </row>
    <row r="35" spans="2:16" x14ac:dyDescent="0.2">
      <c r="B35">
        <f t="shared" si="0"/>
        <v>32</v>
      </c>
      <c r="C35" t="s">
        <v>56</v>
      </c>
      <c r="D35" t="s">
        <v>138</v>
      </c>
    </row>
    <row r="36" spans="2:16" x14ac:dyDescent="0.2">
      <c r="B36">
        <f t="shared" si="0"/>
        <v>33</v>
      </c>
      <c r="C36" t="s">
        <v>57</v>
      </c>
      <c r="D36" t="s">
        <v>140</v>
      </c>
    </row>
    <row r="37" spans="2:16" x14ac:dyDescent="0.2">
      <c r="B37">
        <f t="shared" si="0"/>
        <v>34</v>
      </c>
      <c r="C37" t="s">
        <v>58</v>
      </c>
      <c r="D37" t="s">
        <v>141</v>
      </c>
    </row>
    <row r="38" spans="2:16" x14ac:dyDescent="0.2">
      <c r="B38">
        <f t="shared" si="0"/>
        <v>35</v>
      </c>
      <c r="C38" t="s">
        <v>59</v>
      </c>
      <c r="D38" t="s">
        <v>142</v>
      </c>
    </row>
    <row r="39" spans="2:16" x14ac:dyDescent="0.2">
      <c r="B39">
        <f t="shared" si="0"/>
        <v>36</v>
      </c>
      <c r="C39" s="1" t="s">
        <v>145</v>
      </c>
      <c r="D39" t="s">
        <v>143</v>
      </c>
      <c r="E39" s="4">
        <v>112.55</v>
      </c>
      <c r="F39" s="2">
        <f>E39*J39</f>
        <v>27912.399999999998</v>
      </c>
      <c r="G39" s="2">
        <f>[7]Main!$K$5-[7]Main!$K$6</f>
        <v>12096.864</v>
      </c>
      <c r="H39" s="2">
        <f>[7]Main!$K$7</f>
        <v>15815.535999999998</v>
      </c>
      <c r="I39" t="s">
        <v>243</v>
      </c>
      <c r="J39" s="2">
        <f>[7]Main!$K$3</f>
        <v>248</v>
      </c>
      <c r="K39" s="2">
        <f>[7]Model!$V$18</f>
        <v>27086.288535542022</v>
      </c>
      <c r="L39" s="3">
        <f>K39/F39-1</f>
        <v>-2.9596575875165732E-2</v>
      </c>
      <c r="M39" s="3">
        <f>[7]Model!$V$15</f>
        <v>0.02</v>
      </c>
      <c r="N39" s="3">
        <f>[7]Model!$V$16</f>
        <v>-0.01</v>
      </c>
      <c r="O39" s="3">
        <f>[7]Model!$V$17</f>
        <v>0.08</v>
      </c>
      <c r="P39">
        <v>2008</v>
      </c>
    </row>
    <row r="40" spans="2:16" x14ac:dyDescent="0.2">
      <c r="B40">
        <f t="shared" si="0"/>
        <v>37</v>
      </c>
      <c r="C40" t="s">
        <v>60</v>
      </c>
      <c r="D40" t="s">
        <v>144</v>
      </c>
    </row>
    <row r="41" spans="2:16" x14ac:dyDescent="0.2">
      <c r="B41">
        <f t="shared" si="0"/>
        <v>38</v>
      </c>
      <c r="C41" t="s">
        <v>61</v>
      </c>
      <c r="D41" t="s">
        <v>146</v>
      </c>
    </row>
    <row r="42" spans="2:16" x14ac:dyDescent="0.2">
      <c r="B42">
        <f t="shared" si="0"/>
        <v>39</v>
      </c>
      <c r="C42" t="s">
        <v>62</v>
      </c>
      <c r="D42" t="s">
        <v>147</v>
      </c>
    </row>
    <row r="43" spans="2:16" x14ac:dyDescent="0.2">
      <c r="B43">
        <f t="shared" si="0"/>
        <v>40</v>
      </c>
      <c r="C43" t="s">
        <v>63</v>
      </c>
      <c r="D43" t="s">
        <v>148</v>
      </c>
    </row>
    <row r="44" spans="2:16" x14ac:dyDescent="0.2">
      <c r="B44">
        <f t="shared" si="0"/>
        <v>41</v>
      </c>
      <c r="C44" t="s">
        <v>64</v>
      </c>
      <c r="D44" t="s">
        <v>149</v>
      </c>
    </row>
    <row r="45" spans="2:16" x14ac:dyDescent="0.2">
      <c r="B45">
        <f t="shared" si="0"/>
        <v>42</v>
      </c>
      <c r="C45" t="s">
        <v>65</v>
      </c>
      <c r="D45" t="s">
        <v>150</v>
      </c>
    </row>
    <row r="46" spans="2:16" x14ac:dyDescent="0.2">
      <c r="B46">
        <f t="shared" si="0"/>
        <v>43</v>
      </c>
      <c r="C46" s="1" t="s">
        <v>66</v>
      </c>
      <c r="D46" t="s">
        <v>151</v>
      </c>
      <c r="E46" s="4">
        <v>27</v>
      </c>
      <c r="F46" s="2">
        <f>E46*J46</f>
        <v>20056.8609</v>
      </c>
      <c r="G46">
        <f>[8]Main!$K$5-[8]Main!$K$6</f>
        <v>298</v>
      </c>
      <c r="H46" s="2">
        <f>[8]Main!$K$7</f>
        <v>19536.006890000001</v>
      </c>
      <c r="I46" t="s">
        <v>243</v>
      </c>
      <c r="J46" s="2">
        <f>[8]Main!$K$3</f>
        <v>742.84670000000006</v>
      </c>
      <c r="K46" s="7">
        <f>[8]Ivonescimab!$D$52</f>
        <v>0</v>
      </c>
      <c r="L46" s="3">
        <f>K46/F46-1</f>
        <v>-1</v>
      </c>
      <c r="M46" s="3">
        <v>0.02</v>
      </c>
      <c r="N46" s="3">
        <v>-0.01</v>
      </c>
      <c r="O46" s="3">
        <v>0.09</v>
      </c>
      <c r="P46" s="8">
        <v>2003</v>
      </c>
    </row>
    <row r="47" spans="2:16" x14ac:dyDescent="0.2">
      <c r="B47">
        <f t="shared" si="0"/>
        <v>44</v>
      </c>
      <c r="C47" t="s">
        <v>67</v>
      </c>
      <c r="D47" t="s">
        <v>152</v>
      </c>
    </row>
    <row r="48" spans="2:16" x14ac:dyDescent="0.2">
      <c r="B48">
        <f t="shared" si="0"/>
        <v>45</v>
      </c>
      <c r="C48" t="s">
        <v>68</v>
      </c>
      <c r="D48" t="s">
        <v>153</v>
      </c>
    </row>
    <row r="49" spans="2:6" x14ac:dyDescent="0.2">
      <c r="B49">
        <f t="shared" si="0"/>
        <v>46</v>
      </c>
      <c r="C49" t="s">
        <v>69</v>
      </c>
      <c r="D49" t="s">
        <v>107</v>
      </c>
    </row>
    <row r="50" spans="2:6" x14ac:dyDescent="0.2">
      <c r="B50">
        <f t="shared" si="0"/>
        <v>47</v>
      </c>
      <c r="C50" t="s">
        <v>74</v>
      </c>
      <c r="D50" t="s">
        <v>154</v>
      </c>
    </row>
    <row r="51" spans="2:6" x14ac:dyDescent="0.2">
      <c r="B51">
        <f t="shared" si="0"/>
        <v>48</v>
      </c>
      <c r="C51" t="s">
        <v>70</v>
      </c>
      <c r="D51" t="s">
        <v>155</v>
      </c>
    </row>
    <row r="52" spans="2:6" x14ac:dyDescent="0.2">
      <c r="B52">
        <f t="shared" si="0"/>
        <v>49</v>
      </c>
      <c r="C52" t="s">
        <v>71</v>
      </c>
      <c r="D52" t="s">
        <v>156</v>
      </c>
    </row>
    <row r="53" spans="2:6" x14ac:dyDescent="0.2">
      <c r="B53">
        <f t="shared" si="0"/>
        <v>50</v>
      </c>
      <c r="C53" t="s">
        <v>72</v>
      </c>
      <c r="D53" t="s">
        <v>157</v>
      </c>
    </row>
    <row r="54" spans="2:6" x14ac:dyDescent="0.2">
      <c r="B54">
        <f t="shared" si="0"/>
        <v>51</v>
      </c>
      <c r="C54" t="s">
        <v>73</v>
      </c>
      <c r="D54" t="s">
        <v>158</v>
      </c>
    </row>
    <row r="55" spans="2:6" x14ac:dyDescent="0.2">
      <c r="B55">
        <f t="shared" si="0"/>
        <v>52</v>
      </c>
      <c r="C55" t="s">
        <v>75</v>
      </c>
      <c r="D55" t="s">
        <v>111</v>
      </c>
    </row>
    <row r="56" spans="2:6" x14ac:dyDescent="0.2">
      <c r="B56">
        <f t="shared" si="0"/>
        <v>53</v>
      </c>
      <c r="C56" t="s">
        <v>76</v>
      </c>
      <c r="D56" t="s">
        <v>159</v>
      </c>
      <c r="F56" s="2">
        <v>19500</v>
      </c>
    </row>
    <row r="57" spans="2:6" x14ac:dyDescent="0.2">
      <c r="B57">
        <f t="shared" si="0"/>
        <v>54</v>
      </c>
      <c r="C57" t="s">
        <v>77</v>
      </c>
      <c r="D57" t="s">
        <v>160</v>
      </c>
    </row>
    <row r="58" spans="2:6" x14ac:dyDescent="0.2">
      <c r="B58">
        <f t="shared" si="0"/>
        <v>55</v>
      </c>
      <c r="C58" t="s">
        <v>78</v>
      </c>
      <c r="D58" t="s">
        <v>161</v>
      </c>
    </row>
    <row r="59" spans="2:6" x14ac:dyDescent="0.2">
      <c r="B59">
        <f t="shared" si="0"/>
        <v>56</v>
      </c>
      <c r="C59" t="s">
        <v>79</v>
      </c>
      <c r="D59" t="s">
        <v>162</v>
      </c>
    </row>
    <row r="60" spans="2:6" x14ac:dyDescent="0.2">
      <c r="B60">
        <f t="shared" si="0"/>
        <v>57</v>
      </c>
      <c r="C60" t="s">
        <v>80</v>
      </c>
      <c r="D60" t="s">
        <v>163</v>
      </c>
    </row>
    <row r="61" spans="2:6" x14ac:dyDescent="0.2">
      <c r="B61">
        <f t="shared" si="0"/>
        <v>58</v>
      </c>
      <c r="C61" t="s">
        <v>81</v>
      </c>
      <c r="D61" t="s">
        <v>164</v>
      </c>
    </row>
    <row r="62" spans="2:6" x14ac:dyDescent="0.2">
      <c r="B62">
        <f t="shared" si="0"/>
        <v>59</v>
      </c>
      <c r="C62" t="s">
        <v>82</v>
      </c>
      <c r="D62" t="s">
        <v>165</v>
      </c>
    </row>
    <row r="63" spans="2:6" x14ac:dyDescent="0.2">
      <c r="B63">
        <f t="shared" si="0"/>
        <v>60</v>
      </c>
      <c r="C63" t="s">
        <v>83</v>
      </c>
      <c r="D63" t="s">
        <v>166</v>
      </c>
    </row>
    <row r="64" spans="2:6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6" x14ac:dyDescent="0.2">
      <c r="B97">
        <f t="shared" si="1"/>
        <v>94</v>
      </c>
      <c r="C97" t="s">
        <v>202</v>
      </c>
      <c r="D97" t="s">
        <v>234</v>
      </c>
    </row>
    <row r="98" spans="2:16" x14ac:dyDescent="0.2">
      <c r="B98">
        <f t="shared" si="1"/>
        <v>95</v>
      </c>
      <c r="C98" t="s">
        <v>203</v>
      </c>
      <c r="D98" t="s">
        <v>235</v>
      </c>
    </row>
    <row r="99" spans="2:16" x14ac:dyDescent="0.2">
      <c r="B99">
        <f t="shared" si="1"/>
        <v>96</v>
      </c>
      <c r="C99" t="s">
        <v>204</v>
      </c>
      <c r="D99" t="s">
        <v>223</v>
      </c>
    </row>
    <row r="100" spans="2:16" x14ac:dyDescent="0.2">
      <c r="B100">
        <f t="shared" si="1"/>
        <v>97</v>
      </c>
      <c r="C100" t="s">
        <v>205</v>
      </c>
      <c r="D100" t="s">
        <v>224</v>
      </c>
    </row>
    <row r="101" spans="2:16" x14ac:dyDescent="0.2">
      <c r="B101">
        <f t="shared" si="1"/>
        <v>98</v>
      </c>
      <c r="C101" t="s">
        <v>206</v>
      </c>
      <c r="D101" t="s">
        <v>222</v>
      </c>
    </row>
    <row r="102" spans="2:16" x14ac:dyDescent="0.2">
      <c r="B102">
        <f t="shared" si="1"/>
        <v>99</v>
      </c>
      <c r="C102" t="s">
        <v>207</v>
      </c>
      <c r="D102" t="s">
        <v>219</v>
      </c>
    </row>
    <row r="103" spans="2:16" x14ac:dyDescent="0.2">
      <c r="B103">
        <f t="shared" si="1"/>
        <v>100</v>
      </c>
      <c r="C103" t="s">
        <v>208</v>
      </c>
      <c r="D103" t="s">
        <v>220</v>
      </c>
    </row>
    <row r="104" spans="2:16" x14ac:dyDescent="0.2">
      <c r="B104">
        <f t="shared" si="1"/>
        <v>101</v>
      </c>
      <c r="C104" t="s">
        <v>209</v>
      </c>
      <c r="D104" t="s">
        <v>218</v>
      </c>
    </row>
    <row r="105" spans="2:16" x14ac:dyDescent="0.2">
      <c r="B105">
        <f t="shared" si="1"/>
        <v>102</v>
      </c>
      <c r="C105" t="s">
        <v>210</v>
      </c>
      <c r="D105" t="s">
        <v>221</v>
      </c>
    </row>
    <row r="106" spans="2:16" x14ac:dyDescent="0.2">
      <c r="B106">
        <f t="shared" si="1"/>
        <v>103</v>
      </c>
      <c r="C106" t="s">
        <v>211</v>
      </c>
      <c r="D106" t="s">
        <v>217</v>
      </c>
    </row>
    <row r="107" spans="2:16" x14ac:dyDescent="0.2">
      <c r="B107">
        <f t="shared" si="1"/>
        <v>104</v>
      </c>
      <c r="C107" t="s">
        <v>212</v>
      </c>
      <c r="D107" t="s">
        <v>216</v>
      </c>
    </row>
    <row r="108" spans="2:16" x14ac:dyDescent="0.2">
      <c r="B108">
        <f t="shared" si="1"/>
        <v>105</v>
      </c>
      <c r="C108" t="s">
        <v>213</v>
      </c>
      <c r="D108" t="s">
        <v>215</v>
      </c>
      <c r="F108" s="4"/>
    </row>
    <row r="109" spans="2:16" x14ac:dyDescent="0.2">
      <c r="B109">
        <f t="shared" si="1"/>
        <v>106</v>
      </c>
      <c r="C109" t="s">
        <v>214</v>
      </c>
      <c r="D109" t="s">
        <v>112</v>
      </c>
      <c r="G109" s="4"/>
    </row>
    <row r="110" spans="2:16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 t="shared" ref="F110:F119" si="2">E110*J110</f>
        <v>956.16639999999995</v>
      </c>
      <c r="G110" s="2">
        <f>[9]Main!$K$5-[9]Main!$K$6</f>
        <v>115.771</v>
      </c>
      <c r="H110" s="2">
        <f>[9]Main!$K$7</f>
        <v>1028.2138</v>
      </c>
      <c r="I110" t="s">
        <v>243</v>
      </c>
      <c r="J110" s="2">
        <f>[9]Main!$K$3</f>
        <v>85.372</v>
      </c>
      <c r="K110" s="2">
        <f>[9]Main!$K$5</f>
        <v>115.771</v>
      </c>
      <c r="L110" s="3">
        <f>(K110/J110)/E110-1</f>
        <v>-0.87892170233130973</v>
      </c>
      <c r="M110" s="3">
        <f>[9]Model!$R$6</f>
        <v>0.02</v>
      </c>
      <c r="N110" s="3">
        <f>[9]Model!$R$7</f>
        <v>-0.01</v>
      </c>
      <c r="O110" s="3">
        <f>[9]Model!$R$8</f>
        <v>0.09</v>
      </c>
      <c r="P110">
        <v>2004</v>
      </c>
    </row>
    <row r="111" spans="2:16" x14ac:dyDescent="0.2">
      <c r="B111">
        <f>B110+1</f>
        <v>108</v>
      </c>
      <c r="C111" s="1" t="s">
        <v>238</v>
      </c>
      <c r="D111" t="s">
        <v>239</v>
      </c>
      <c r="E111" s="4">
        <v>22</v>
      </c>
      <c r="F111" s="2">
        <f t="shared" si="2"/>
        <v>2162.0940000000001</v>
      </c>
      <c r="G111" s="2">
        <f>[10]Main!$K$5-[10]Main!$K$6</f>
        <v>-1194.46</v>
      </c>
      <c r="H111" s="2">
        <f>[10]Main!$K$7</f>
        <v>3356.5540000000001</v>
      </c>
      <c r="I111" t="s">
        <v>240</v>
      </c>
      <c r="J111" s="2">
        <f>[10]Main!$K$3</f>
        <v>98.277000000000001</v>
      </c>
      <c r="K111" s="2">
        <f>[10]Model!$X$20</f>
        <v>4891.1877390474529</v>
      </c>
      <c r="L111" s="3">
        <f>(K111/J111)/E111-1</f>
        <v>1.2622456466034562</v>
      </c>
      <c r="M111" s="3">
        <f>[10]Model!$X$17</f>
        <v>0.02</v>
      </c>
      <c r="N111" s="3">
        <f>[10]Model!$X$18</f>
        <v>-0.01</v>
      </c>
      <c r="O111" s="3">
        <f>[10]Model!$X$19</f>
        <v>0.08</v>
      </c>
      <c r="P111">
        <v>1980</v>
      </c>
    </row>
    <row r="112" spans="2:16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 t="shared" si="2"/>
        <v>146.35720000000001</v>
      </c>
      <c r="G112" s="2">
        <f>[11]Main!$K$6-[11]Main!$K$7</f>
        <v>70</v>
      </c>
      <c r="H112" s="2">
        <f>[11]Main!$K$8</f>
        <v>76.357200000000006</v>
      </c>
      <c r="I112" t="s">
        <v>243</v>
      </c>
      <c r="J112" s="2">
        <f>[11]Main!$K$4</f>
        <v>66.525999999999996</v>
      </c>
      <c r="K112" s="2">
        <f>[11]Main!$K$6</f>
        <v>70</v>
      </c>
      <c r="L112" s="3">
        <f>(K112/J112)/E112-1</f>
        <v>-0.52171809791387103</v>
      </c>
      <c r="P112">
        <v>1999</v>
      </c>
    </row>
    <row r="113" spans="2:12" x14ac:dyDescent="0.2">
      <c r="B113">
        <f t="shared" si="1"/>
        <v>110</v>
      </c>
      <c r="C113" s="1" t="s">
        <v>245</v>
      </c>
      <c r="D113" t="s">
        <v>244</v>
      </c>
      <c r="E113" s="4">
        <v>61.2</v>
      </c>
      <c r="F113" s="2">
        <f t="shared" si="2"/>
        <v>0</v>
      </c>
      <c r="I113" t="s">
        <v>776</v>
      </c>
      <c r="L113" s="3"/>
    </row>
    <row r="114" spans="2:12" x14ac:dyDescent="0.2">
      <c r="B114">
        <f t="shared" si="1"/>
        <v>111</v>
      </c>
      <c r="C114" s="1" t="s">
        <v>443</v>
      </c>
      <c r="D114" t="s">
        <v>246</v>
      </c>
      <c r="F114" s="2">
        <f t="shared" si="2"/>
        <v>0</v>
      </c>
    </row>
    <row r="115" spans="2:12" x14ac:dyDescent="0.2">
      <c r="B115">
        <f t="shared" si="1"/>
        <v>112</v>
      </c>
      <c r="C115" t="s">
        <v>444</v>
      </c>
      <c r="D115" t="s">
        <v>247</v>
      </c>
      <c r="F115" s="2">
        <f t="shared" si="2"/>
        <v>0</v>
      </c>
    </row>
    <row r="116" spans="2:12" x14ac:dyDescent="0.2">
      <c r="B116">
        <f t="shared" si="1"/>
        <v>113</v>
      </c>
      <c r="C116" t="s">
        <v>445</v>
      </c>
      <c r="D116" t="s">
        <v>248</v>
      </c>
      <c r="F116" s="2">
        <f t="shared" si="2"/>
        <v>0</v>
      </c>
    </row>
    <row r="117" spans="2:12" x14ac:dyDescent="0.2">
      <c r="B117">
        <f t="shared" si="1"/>
        <v>114</v>
      </c>
      <c r="C117" t="s">
        <v>446</v>
      </c>
      <c r="D117" t="s">
        <v>249</v>
      </c>
      <c r="F117" s="2">
        <f t="shared" si="2"/>
        <v>0</v>
      </c>
    </row>
    <row r="118" spans="2:12" x14ac:dyDescent="0.2">
      <c r="B118">
        <f t="shared" si="1"/>
        <v>115</v>
      </c>
      <c r="C118" t="s">
        <v>447</v>
      </c>
      <c r="D118" t="s">
        <v>250</v>
      </c>
      <c r="F118" s="2">
        <f t="shared" si="2"/>
        <v>0</v>
      </c>
    </row>
    <row r="119" spans="2:12" x14ac:dyDescent="0.2">
      <c r="B119">
        <f t="shared" si="1"/>
        <v>116</v>
      </c>
      <c r="C119" s="1" t="s">
        <v>676</v>
      </c>
      <c r="D119" t="s">
        <v>677</v>
      </c>
      <c r="E119">
        <v>5.35</v>
      </c>
      <c r="F119" s="2">
        <f t="shared" si="2"/>
        <v>476.15</v>
      </c>
      <c r="G119" s="2">
        <f>[12]Main!$P$5-[12]Main!$P$6</f>
        <v>64.66</v>
      </c>
      <c r="H119" s="2">
        <f>[12]Main!$P$7</f>
        <v>407.03999999999996</v>
      </c>
      <c r="I119" t="s">
        <v>240</v>
      </c>
      <c r="J119" s="2">
        <f>[12]Main!$P$3</f>
        <v>89</v>
      </c>
      <c r="K119" s="2">
        <f>[12]Main!$P$5</f>
        <v>76.36</v>
      </c>
      <c r="L119" s="3">
        <f>(K119/J119)/E119-1</f>
        <v>-0.83963036858132944</v>
      </c>
    </row>
    <row r="120" spans="2:12" x14ac:dyDescent="0.2">
      <c r="B120">
        <f t="shared" si="1"/>
        <v>117</v>
      </c>
      <c r="E120" s="3"/>
      <c r="F120" s="4"/>
    </row>
    <row r="121" spans="2:12" x14ac:dyDescent="0.2">
      <c r="B121">
        <f t="shared" si="1"/>
        <v>118</v>
      </c>
      <c r="E121" s="3"/>
      <c r="F121" s="4"/>
      <c r="G121" s="4"/>
    </row>
    <row r="122" spans="2:12" x14ac:dyDescent="0.2">
      <c r="B122">
        <f t="shared" si="1"/>
        <v>119</v>
      </c>
      <c r="E122" s="3"/>
      <c r="F122" s="4"/>
      <c r="G122" s="3"/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  <hyperlink ref="C46" r:id="rId9" xr:uid="{385039E3-A799-4AA7-9730-76F3DEA74624}"/>
    <hyperlink ref="C39" r:id="rId10" xr:uid="{D07F628A-D0BE-4C2B-B559-8EAF1F113361}"/>
    <hyperlink ref="C5" r:id="rId11" xr:uid="{CD50D93B-64A5-4204-9920-7EC8CA8C2850}"/>
    <hyperlink ref="C114" r:id="rId12" xr:uid="{D8292DBC-5B64-4D38-BBD2-2D44F8444791}"/>
    <hyperlink ref="C119" r:id="rId13" xr:uid="{D39B922A-7684-4FAF-B8F8-5BF89EDA149A}"/>
    <hyperlink ref="C113" r:id="rId14" xr:uid="{94546ADB-2E19-43B8-8570-8DAF980279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5D-B115-45C7-B96C-D7F476FE089A}">
  <dimension ref="A1:J19"/>
  <sheetViews>
    <sheetView zoomScale="160" zoomScaleNormal="160" workbookViewId="0">
      <selection activeCell="A2" sqref="A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249</v>
      </c>
    </row>
    <row r="3" spans="1:10" x14ac:dyDescent="0.2">
      <c r="B3" t="s">
        <v>804</v>
      </c>
    </row>
    <row r="4" spans="1:10" x14ac:dyDescent="0.2">
      <c r="B4" t="s">
        <v>805</v>
      </c>
    </row>
    <row r="5" spans="1:10" x14ac:dyDescent="0.2">
      <c r="B5" t="s">
        <v>806</v>
      </c>
    </row>
    <row r="9" spans="1:10" x14ac:dyDescent="0.2">
      <c r="B9" t="s">
        <v>434</v>
      </c>
      <c r="E9" s="3"/>
    </row>
    <row r="10" spans="1:10" x14ac:dyDescent="0.2">
      <c r="B10" t="s">
        <v>435</v>
      </c>
      <c r="E10" s="3"/>
    </row>
    <row r="11" spans="1:10" x14ac:dyDescent="0.2">
      <c r="B11" t="s">
        <v>436</v>
      </c>
      <c r="E11" s="3"/>
      <c r="J11" t="s">
        <v>251</v>
      </c>
    </row>
    <row r="12" spans="1:10" x14ac:dyDescent="0.2">
      <c r="B12" t="s">
        <v>437</v>
      </c>
      <c r="E12" s="3"/>
    </row>
    <row r="13" spans="1:10" x14ac:dyDescent="0.2">
      <c r="B13" t="s">
        <v>438</v>
      </c>
      <c r="E13" s="3"/>
    </row>
    <row r="14" spans="1:10" x14ac:dyDescent="0.2">
      <c r="B14" t="s">
        <v>439</v>
      </c>
      <c r="E14" s="3"/>
    </row>
    <row r="15" spans="1:10" x14ac:dyDescent="0.2">
      <c r="B15" t="s">
        <v>440</v>
      </c>
      <c r="E15" s="3"/>
    </row>
    <row r="16" spans="1:10" x14ac:dyDescent="0.2">
      <c r="B16" t="s">
        <v>441</v>
      </c>
      <c r="E16" s="3"/>
    </row>
    <row r="17" spans="2:5" x14ac:dyDescent="0.2">
      <c r="B17" t="s">
        <v>442</v>
      </c>
      <c r="E17" s="3"/>
    </row>
    <row r="18" spans="2:5" x14ac:dyDescent="0.2">
      <c r="B18" t="s">
        <v>696</v>
      </c>
      <c r="E18" s="3"/>
    </row>
    <row r="19" spans="2:5" x14ac:dyDescent="0.2">
      <c r="B19" t="s">
        <v>697</v>
      </c>
    </row>
  </sheetData>
  <hyperlinks>
    <hyperlink ref="A1" location="Main!A1" display="Main" xr:uid="{AFF631E4-02EA-4DC4-82A3-DE3A95538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BBE-0AE9-4D08-BD45-3B74A14BCF81}">
  <dimension ref="A1:E32"/>
  <sheetViews>
    <sheetView zoomScale="145" zoomScaleNormal="145" workbookViewId="0">
      <selection activeCell="F18" sqref="F18"/>
    </sheetView>
  </sheetViews>
  <sheetFormatPr defaultRowHeight="12.75" x14ac:dyDescent="0.2"/>
  <cols>
    <col min="1" max="1" width="5" bestFit="1" customWidth="1"/>
    <col min="2" max="2" width="10.28515625" customWidth="1"/>
    <col min="4" max="4" width="10.140625" bestFit="1" customWidth="1"/>
  </cols>
  <sheetData>
    <row r="1" spans="1:5" x14ac:dyDescent="0.2">
      <c r="A1" s="1" t="s">
        <v>16</v>
      </c>
    </row>
    <row r="2" spans="1:5" x14ac:dyDescent="0.2">
      <c r="B2" t="s">
        <v>680</v>
      </c>
    </row>
    <row r="3" spans="1:5" x14ac:dyDescent="0.2">
      <c r="B3" t="s">
        <v>690</v>
      </c>
    </row>
    <row r="6" spans="1:5" x14ac:dyDescent="0.2">
      <c r="C6" t="s">
        <v>691</v>
      </c>
    </row>
    <row r="7" spans="1:5" x14ac:dyDescent="0.2">
      <c r="B7" s="2" t="s">
        <v>692</v>
      </c>
      <c r="C7" s="2">
        <v>8200</v>
      </c>
    </row>
    <row r="8" spans="1:5" x14ac:dyDescent="0.2">
      <c r="B8" t="s">
        <v>693</v>
      </c>
      <c r="C8" s="2">
        <v>14600</v>
      </c>
      <c r="D8" s="4"/>
      <c r="E8" s="3"/>
    </row>
    <row r="9" spans="1:5" x14ac:dyDescent="0.2">
      <c r="A9" t="s">
        <v>695</v>
      </c>
      <c r="B9" t="s">
        <v>694</v>
      </c>
      <c r="C9" s="2">
        <v>14500</v>
      </c>
      <c r="D9" s="3"/>
    </row>
    <row r="10" spans="1:5" x14ac:dyDescent="0.2">
      <c r="C10" s="2"/>
    </row>
    <row r="11" spans="1:5" x14ac:dyDescent="0.2">
      <c r="B11" t="s">
        <v>681</v>
      </c>
    </row>
    <row r="13" spans="1:5" x14ac:dyDescent="0.2">
      <c r="B13" t="s">
        <v>682</v>
      </c>
    </row>
    <row r="15" spans="1:5" x14ac:dyDescent="0.2">
      <c r="C15" t="s">
        <v>683</v>
      </c>
      <c r="D15" t="s">
        <v>688</v>
      </c>
    </row>
    <row r="16" spans="1:5" x14ac:dyDescent="0.2">
      <c r="D16" t="s">
        <v>689</v>
      </c>
    </row>
    <row r="17" spans="2:3" x14ac:dyDescent="0.2">
      <c r="C17" t="s">
        <v>684</v>
      </c>
    </row>
    <row r="18" spans="2:3" x14ac:dyDescent="0.2">
      <c r="C18" t="s">
        <v>685</v>
      </c>
    </row>
    <row r="19" spans="2:3" x14ac:dyDescent="0.2">
      <c r="C19" t="s">
        <v>686</v>
      </c>
    </row>
    <row r="20" spans="2:3" x14ac:dyDescent="0.2">
      <c r="C20" t="s">
        <v>687</v>
      </c>
    </row>
    <row r="31" spans="2:3" x14ac:dyDescent="0.2">
      <c r="B31" t="s">
        <v>678</v>
      </c>
    </row>
    <row r="32" spans="2:3" x14ac:dyDescent="0.2">
      <c r="C32" t="s">
        <v>679</v>
      </c>
    </row>
  </sheetData>
  <hyperlinks>
    <hyperlink ref="A1" location="Main!A1" display="Main" xr:uid="{E672FB5E-A930-477C-9EDE-A9DEA7CAC3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2CE8-56BC-441A-B926-4DA5F57E4866}">
  <dimension ref="A1:P6"/>
  <sheetViews>
    <sheetView zoomScale="160" zoomScaleNormal="1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RowHeight="12.75" x14ac:dyDescent="0.2"/>
  <cols>
    <col min="1" max="1" width="5" bestFit="1" customWidth="1"/>
  </cols>
  <sheetData>
    <row r="1" spans="1:16" x14ac:dyDescent="0.2">
      <c r="A1" s="1" t="s">
        <v>16</v>
      </c>
    </row>
    <row r="3" spans="1:16" x14ac:dyDescent="0.2">
      <c r="C3" t="s">
        <v>807</v>
      </c>
      <c r="D3" t="s">
        <v>808</v>
      </c>
      <c r="E3" t="s">
        <v>809</v>
      </c>
      <c r="F3" t="s">
        <v>810</v>
      </c>
      <c r="G3" t="s">
        <v>815</v>
      </c>
      <c r="H3" t="s">
        <v>816</v>
      </c>
      <c r="I3" t="s">
        <v>817</v>
      </c>
      <c r="J3" t="s">
        <v>818</v>
      </c>
      <c r="M3" t="s">
        <v>811</v>
      </c>
      <c r="N3" t="s">
        <v>812</v>
      </c>
      <c r="O3" t="s">
        <v>813</v>
      </c>
      <c r="P3" t="s">
        <v>814</v>
      </c>
    </row>
    <row r="4" spans="1:16" x14ac:dyDescent="0.2">
      <c r="B4" t="s">
        <v>286</v>
      </c>
    </row>
    <row r="5" spans="1:16" x14ac:dyDescent="0.2">
      <c r="B5" t="s">
        <v>285</v>
      </c>
    </row>
    <row r="6" spans="1:16" x14ac:dyDescent="0.2">
      <c r="B6" t="s">
        <v>819</v>
      </c>
    </row>
  </sheetData>
  <hyperlinks>
    <hyperlink ref="A1" location="Main!A1" display="Main" xr:uid="{5319AE92-EB59-4E38-8417-C5424D351B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O136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5" bestFit="1" customWidth="1"/>
    <col min="2" max="2" width="21.42578125" bestFit="1" customWidth="1"/>
    <col min="3" max="3" width="20.28515625" bestFit="1" customWidth="1"/>
    <col min="6" max="6" width="14.28515625" bestFit="1" customWidth="1"/>
    <col min="9" max="9" width="12.140625" bestFit="1" customWidth="1"/>
    <col min="11" max="11" width="10.28515625" bestFit="1" customWidth="1"/>
    <col min="12" max="12" width="26.28515625" bestFit="1" customWidth="1"/>
  </cols>
  <sheetData>
    <row r="1" spans="1:15" x14ac:dyDescent="0.2">
      <c r="A1" s="1" t="s">
        <v>16</v>
      </c>
      <c r="K1" t="s">
        <v>420</v>
      </c>
      <c r="M1">
        <v>2024</v>
      </c>
    </row>
    <row r="2" spans="1:15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418</v>
      </c>
      <c r="L2" t="s">
        <v>344</v>
      </c>
      <c r="M2" t="s">
        <v>459</v>
      </c>
      <c r="N2" t="s">
        <v>601</v>
      </c>
      <c r="O2" t="s">
        <v>602</v>
      </c>
    </row>
    <row r="3" spans="1:15" x14ac:dyDescent="0.2">
      <c r="B3" t="s">
        <v>289</v>
      </c>
      <c r="C3" t="s">
        <v>338</v>
      </c>
      <c r="D3" s="12">
        <v>51</v>
      </c>
      <c r="E3" s="12" t="s">
        <v>427</v>
      </c>
      <c r="F3" s="12" t="s">
        <v>428</v>
      </c>
      <c r="G3" s="12"/>
      <c r="H3" s="12">
        <v>2002</v>
      </c>
      <c r="I3" s="12" t="s">
        <v>428</v>
      </c>
      <c r="J3" s="12"/>
      <c r="K3" s="12">
        <v>240</v>
      </c>
      <c r="L3" s="12" t="s">
        <v>385</v>
      </c>
      <c r="M3" s="13">
        <v>8993</v>
      </c>
      <c r="N3" s="12">
        <v>2002</v>
      </c>
      <c r="O3" s="12">
        <v>2023</v>
      </c>
    </row>
    <row r="4" spans="1:15" x14ac:dyDescent="0.2">
      <c r="B4" t="s">
        <v>292</v>
      </c>
      <c r="C4" t="s">
        <v>339</v>
      </c>
      <c r="D4" s="12">
        <v>1076</v>
      </c>
      <c r="E4" s="12"/>
      <c r="F4" s="12" t="s">
        <v>429</v>
      </c>
      <c r="G4" s="12"/>
      <c r="H4" s="12">
        <v>1996</v>
      </c>
      <c r="I4" s="12" t="s">
        <v>429</v>
      </c>
      <c r="J4" s="12">
        <v>558</v>
      </c>
      <c r="K4" s="12">
        <v>164</v>
      </c>
      <c r="L4" s="12" t="s">
        <v>386</v>
      </c>
      <c r="M4" s="12"/>
      <c r="N4" s="12">
        <v>1996</v>
      </c>
      <c r="O4" s="12">
        <v>2011</v>
      </c>
    </row>
    <row r="5" spans="1:15" x14ac:dyDescent="0.2">
      <c r="B5" t="s">
        <v>284</v>
      </c>
      <c r="C5" t="s">
        <v>340</v>
      </c>
      <c r="D5" s="12">
        <v>9037</v>
      </c>
      <c r="E5" s="12" t="s">
        <v>430</v>
      </c>
      <c r="F5" s="12" t="s">
        <v>428</v>
      </c>
      <c r="G5" s="12"/>
      <c r="H5" s="12">
        <v>2014</v>
      </c>
      <c r="I5" s="12" t="s">
        <v>428</v>
      </c>
      <c r="J5" s="12"/>
      <c r="K5" s="12">
        <v>150</v>
      </c>
      <c r="L5" s="12" t="s">
        <v>387</v>
      </c>
      <c r="M5" s="13">
        <v>29482</v>
      </c>
      <c r="N5" s="12">
        <v>2014</v>
      </c>
      <c r="O5" s="12">
        <v>2028</v>
      </c>
    </row>
    <row r="6" spans="1:15" x14ac:dyDescent="0.2">
      <c r="B6" t="s">
        <v>293</v>
      </c>
      <c r="C6" t="s">
        <v>341</v>
      </c>
      <c r="D6" s="12">
        <v>480</v>
      </c>
      <c r="E6" s="12"/>
      <c r="F6" s="12"/>
      <c r="G6" s="12"/>
      <c r="H6" s="12"/>
      <c r="I6" s="12"/>
      <c r="J6" s="12">
        <v>259</v>
      </c>
      <c r="K6" s="12">
        <v>130</v>
      </c>
      <c r="L6" s="12" t="s">
        <v>388</v>
      </c>
      <c r="M6" s="13">
        <v>5773</v>
      </c>
      <c r="N6" s="12"/>
      <c r="O6" s="12">
        <v>2028</v>
      </c>
    </row>
    <row r="7" spans="1:15" x14ac:dyDescent="0.2">
      <c r="B7" t="s">
        <v>290</v>
      </c>
      <c r="C7" t="s">
        <v>342</v>
      </c>
      <c r="D7" s="12">
        <v>5</v>
      </c>
      <c r="E7" s="12" t="s">
        <v>427</v>
      </c>
      <c r="F7" s="12" t="s">
        <v>431</v>
      </c>
      <c r="G7" s="12"/>
      <c r="H7" s="12"/>
      <c r="I7" s="12" t="s">
        <v>432</v>
      </c>
      <c r="J7" s="12">
        <v>934</v>
      </c>
      <c r="K7" s="12">
        <v>120</v>
      </c>
      <c r="L7" s="12" t="s">
        <v>389</v>
      </c>
      <c r="M7" s="13">
        <v>3316</v>
      </c>
      <c r="N7" s="12">
        <v>1998</v>
      </c>
      <c r="O7" s="12">
        <v>2029</v>
      </c>
    </row>
    <row r="8" spans="1:15" x14ac:dyDescent="0.2">
      <c r="B8" t="s">
        <v>294</v>
      </c>
      <c r="C8" t="s">
        <v>343</v>
      </c>
      <c r="D8" s="12">
        <v>73</v>
      </c>
      <c r="E8" s="12"/>
      <c r="F8" s="12"/>
      <c r="G8" s="12"/>
      <c r="H8" s="12"/>
      <c r="I8" s="12"/>
      <c r="J8" s="12"/>
      <c r="K8" s="12">
        <v>110</v>
      </c>
      <c r="L8" s="12" t="s">
        <v>390</v>
      </c>
      <c r="M8" s="12"/>
      <c r="N8" s="12">
        <v>1997</v>
      </c>
      <c r="O8" s="12">
        <v>2016</v>
      </c>
    </row>
    <row r="9" spans="1:15" x14ac:dyDescent="0.2">
      <c r="B9" t="s">
        <v>295</v>
      </c>
      <c r="D9" s="12"/>
      <c r="E9" s="12"/>
      <c r="F9" s="12"/>
      <c r="G9" s="12"/>
      <c r="H9" s="12"/>
      <c r="I9" s="12"/>
      <c r="J9" s="12"/>
      <c r="K9" s="12">
        <v>110</v>
      </c>
      <c r="L9" s="12" t="s">
        <v>391</v>
      </c>
      <c r="M9" s="13">
        <v>7785</v>
      </c>
      <c r="N9" s="12">
        <v>2021</v>
      </c>
      <c r="O9" s="12"/>
    </row>
    <row r="10" spans="1:15" x14ac:dyDescent="0.2">
      <c r="B10" t="s">
        <v>296</v>
      </c>
      <c r="C10" t="s">
        <v>345</v>
      </c>
      <c r="D10" s="12"/>
      <c r="E10" s="12"/>
      <c r="F10" s="12"/>
      <c r="G10" s="12"/>
      <c r="H10" s="12"/>
      <c r="I10" s="12"/>
      <c r="J10" s="12"/>
      <c r="K10" s="12">
        <v>95</v>
      </c>
      <c r="L10" s="12" t="s">
        <v>387</v>
      </c>
      <c r="M10" s="12"/>
      <c r="N10" s="12">
        <v>2004</v>
      </c>
      <c r="O10" s="12">
        <v>2028</v>
      </c>
    </row>
    <row r="11" spans="1:15" x14ac:dyDescent="0.2">
      <c r="B11" t="s">
        <v>291</v>
      </c>
      <c r="C11" t="s">
        <v>346</v>
      </c>
      <c r="D11" s="12"/>
      <c r="E11" s="12" t="s">
        <v>427</v>
      </c>
      <c r="F11" s="12"/>
      <c r="G11" s="12"/>
      <c r="H11" s="12"/>
      <c r="I11" s="12"/>
      <c r="J11" s="12"/>
      <c r="K11" s="12">
        <v>90.3</v>
      </c>
      <c r="L11" s="12" t="s">
        <v>385</v>
      </c>
      <c r="M11" s="12"/>
      <c r="N11" s="12"/>
      <c r="O11" s="12">
        <v>2018</v>
      </c>
    </row>
    <row r="12" spans="1:15" x14ac:dyDescent="0.2">
      <c r="B12" t="s">
        <v>297</v>
      </c>
      <c r="C12" t="s">
        <v>347</v>
      </c>
      <c r="D12" s="12"/>
      <c r="E12" s="12"/>
      <c r="F12" s="12"/>
      <c r="G12" s="12"/>
      <c r="H12" s="12"/>
      <c r="I12" s="12"/>
      <c r="J12" s="12"/>
      <c r="K12" s="12">
        <v>85</v>
      </c>
      <c r="L12" s="12" t="s">
        <v>392</v>
      </c>
      <c r="M12" s="12"/>
      <c r="N12" s="12"/>
      <c r="O12" s="12">
        <v>2019</v>
      </c>
    </row>
    <row r="13" spans="1:15" x14ac:dyDescent="0.2">
      <c r="B13" t="s">
        <v>298</v>
      </c>
      <c r="C13" t="s">
        <v>348</v>
      </c>
      <c r="D13" s="12"/>
      <c r="E13" s="12"/>
      <c r="F13" s="12"/>
      <c r="G13" s="12"/>
      <c r="H13" s="12"/>
      <c r="I13" s="12"/>
      <c r="J13" s="12"/>
      <c r="K13" s="12">
        <v>83.7</v>
      </c>
      <c r="L13" s="12" t="s">
        <v>393</v>
      </c>
      <c r="M13" s="12"/>
      <c r="N13" s="12">
        <v>1997</v>
      </c>
      <c r="O13" s="12">
        <v>2012</v>
      </c>
    </row>
    <row r="14" spans="1:15" x14ac:dyDescent="0.2">
      <c r="B14" t="s">
        <v>288</v>
      </c>
      <c r="C14" t="s">
        <v>349</v>
      </c>
      <c r="D14" s="12"/>
      <c r="E14" s="12"/>
      <c r="F14" s="12"/>
      <c r="G14" s="12"/>
      <c r="H14" s="12"/>
      <c r="I14" s="12"/>
      <c r="J14" s="12"/>
      <c r="K14" s="12">
        <v>80</v>
      </c>
      <c r="L14" s="12" t="s">
        <v>394</v>
      </c>
      <c r="M14" s="13">
        <v>20703</v>
      </c>
      <c r="N14" s="12">
        <v>2012</v>
      </c>
      <c r="O14" s="12">
        <v>2026</v>
      </c>
    </row>
    <row r="15" spans="1:15" x14ac:dyDescent="0.2">
      <c r="B15" t="s">
        <v>299</v>
      </c>
      <c r="D15" s="12"/>
      <c r="E15" s="12"/>
      <c r="F15" s="12"/>
      <c r="G15" s="12"/>
      <c r="H15" s="12"/>
      <c r="I15" s="12"/>
      <c r="J15" s="12"/>
      <c r="K15" s="12">
        <v>80</v>
      </c>
      <c r="L15" s="12" t="s">
        <v>395</v>
      </c>
      <c r="M15" s="12"/>
      <c r="N15" s="12">
        <v>2000</v>
      </c>
      <c r="O15" s="12">
        <v>2010</v>
      </c>
    </row>
    <row r="16" spans="1:15" x14ac:dyDescent="0.2">
      <c r="B16" t="s">
        <v>300</v>
      </c>
      <c r="C16" t="s">
        <v>350</v>
      </c>
      <c r="D16" s="12"/>
      <c r="E16" s="12"/>
      <c r="F16" s="12"/>
      <c r="G16" s="12"/>
      <c r="H16" s="12"/>
      <c r="I16" s="12"/>
      <c r="J16" s="12"/>
      <c r="K16" s="12">
        <v>75</v>
      </c>
      <c r="L16" s="12" t="s">
        <v>396</v>
      </c>
      <c r="M16" s="12"/>
      <c r="N16" s="12">
        <v>2000</v>
      </c>
      <c r="O16" s="12">
        <v>2015</v>
      </c>
    </row>
    <row r="17" spans="2:15" x14ac:dyDescent="0.2">
      <c r="B17" t="s">
        <v>301</v>
      </c>
      <c r="C17" t="s">
        <v>426</v>
      </c>
      <c r="D17" s="12"/>
      <c r="E17" s="12"/>
      <c r="F17" s="12"/>
      <c r="G17" s="12"/>
      <c r="H17" s="12"/>
      <c r="I17" s="12"/>
      <c r="J17" s="12"/>
      <c r="K17" s="12">
        <v>70</v>
      </c>
      <c r="L17" s="12" t="s">
        <v>397</v>
      </c>
      <c r="M17" s="13">
        <v>13423</v>
      </c>
      <c r="N17" s="12">
        <v>2018</v>
      </c>
      <c r="O17" s="12">
        <v>2036</v>
      </c>
    </row>
    <row r="18" spans="2:15" x14ac:dyDescent="0.2">
      <c r="B18" t="s">
        <v>302</v>
      </c>
      <c r="C18" t="s">
        <v>351</v>
      </c>
      <c r="D18" s="12"/>
      <c r="E18" s="12"/>
      <c r="F18" s="12"/>
      <c r="G18" s="12"/>
      <c r="H18" s="12"/>
      <c r="I18" s="12"/>
      <c r="J18" s="12"/>
      <c r="K18" s="12">
        <v>70</v>
      </c>
      <c r="L18" s="12" t="s">
        <v>398</v>
      </c>
      <c r="M18" s="13">
        <v>9546</v>
      </c>
      <c r="N18" s="12">
        <v>2011</v>
      </c>
      <c r="O18" s="12">
        <v>2024</v>
      </c>
    </row>
    <row r="19" spans="2:15" x14ac:dyDescent="0.2">
      <c r="B19" t="s">
        <v>303</v>
      </c>
      <c r="C19" t="s">
        <v>352</v>
      </c>
      <c r="D19" s="12"/>
      <c r="E19" s="12"/>
      <c r="F19" s="12"/>
      <c r="G19" s="12"/>
      <c r="H19" s="12"/>
      <c r="I19" s="12"/>
      <c r="J19" s="12"/>
      <c r="K19" s="12">
        <v>70</v>
      </c>
      <c r="L19" s="12" t="s">
        <v>419</v>
      </c>
      <c r="M19" s="13">
        <v>10361</v>
      </c>
      <c r="N19" s="12"/>
      <c r="O19" s="12">
        <v>2023</v>
      </c>
    </row>
    <row r="20" spans="2:15" x14ac:dyDescent="0.2">
      <c r="B20" t="s">
        <v>304</v>
      </c>
      <c r="C20" t="s">
        <v>353</v>
      </c>
      <c r="D20" s="12"/>
      <c r="E20" s="12"/>
      <c r="F20" s="12"/>
      <c r="G20" s="12"/>
      <c r="H20" s="12"/>
      <c r="I20" s="12"/>
      <c r="J20" s="12"/>
      <c r="K20" s="12">
        <v>65</v>
      </c>
      <c r="L20" s="12" t="s">
        <v>399</v>
      </c>
      <c r="M20" s="12"/>
      <c r="N20" s="12">
        <v>2006</v>
      </c>
      <c r="O20" s="12">
        <v>2029</v>
      </c>
    </row>
    <row r="21" spans="2:15" x14ac:dyDescent="0.2">
      <c r="B21" t="s">
        <v>305</v>
      </c>
      <c r="C21" t="s">
        <v>354</v>
      </c>
      <c r="D21" s="12"/>
      <c r="E21" s="12"/>
      <c r="F21" s="12"/>
      <c r="G21" s="12"/>
      <c r="H21" s="12"/>
      <c r="I21" s="12"/>
      <c r="J21" s="12"/>
      <c r="K21" s="12">
        <v>65</v>
      </c>
      <c r="L21" s="12" t="s">
        <v>387</v>
      </c>
      <c r="M21" s="13">
        <v>9304</v>
      </c>
      <c r="N21" s="12">
        <v>2014</v>
      </c>
      <c r="O21" s="12">
        <v>2028</v>
      </c>
    </row>
    <row r="22" spans="2:15" x14ac:dyDescent="0.2">
      <c r="B22" t="s">
        <v>285</v>
      </c>
      <c r="C22" t="s">
        <v>355</v>
      </c>
      <c r="D22" s="12"/>
      <c r="E22" s="12"/>
      <c r="F22" s="12"/>
      <c r="G22" s="12"/>
      <c r="H22" s="12"/>
      <c r="I22" s="12"/>
      <c r="J22" s="12"/>
      <c r="K22" s="12">
        <v>60</v>
      </c>
      <c r="L22" s="12" t="s">
        <v>399</v>
      </c>
      <c r="M22" s="13">
        <v>17451</v>
      </c>
      <c r="N22" s="12">
        <v>2017</v>
      </c>
      <c r="O22" s="12">
        <v>2031</v>
      </c>
    </row>
    <row r="23" spans="2:15" x14ac:dyDescent="0.2">
      <c r="B23" t="s">
        <v>306</v>
      </c>
      <c r="C23" t="s">
        <v>356</v>
      </c>
      <c r="D23" s="12"/>
      <c r="E23" s="12"/>
      <c r="F23" s="12"/>
      <c r="G23" s="12"/>
      <c r="H23" s="12"/>
      <c r="I23" s="12"/>
      <c r="J23" s="12"/>
      <c r="K23" s="12">
        <v>60</v>
      </c>
      <c r="L23" s="12" t="s">
        <v>400</v>
      </c>
      <c r="M23" s="13">
        <v>6411</v>
      </c>
      <c r="N23" s="12">
        <v>2021</v>
      </c>
      <c r="O23" s="12"/>
    </row>
    <row r="24" spans="2:15" x14ac:dyDescent="0.2">
      <c r="B24" t="s">
        <v>307</v>
      </c>
      <c r="C24" t="s">
        <v>360</v>
      </c>
      <c r="D24" s="12"/>
      <c r="E24" s="12"/>
      <c r="F24" s="12"/>
      <c r="G24" s="12"/>
      <c r="H24" s="12"/>
      <c r="I24" s="12"/>
      <c r="J24" s="12"/>
      <c r="K24" s="12">
        <v>55</v>
      </c>
      <c r="L24" s="12" t="s">
        <v>485</v>
      </c>
      <c r="M24" s="12"/>
      <c r="N24" s="12">
        <v>2014</v>
      </c>
      <c r="O24" s="12">
        <v>2034</v>
      </c>
    </row>
    <row r="25" spans="2:15" x14ac:dyDescent="0.2">
      <c r="B25" t="s">
        <v>308</v>
      </c>
      <c r="D25" s="12"/>
      <c r="E25" s="12"/>
      <c r="F25" s="12"/>
      <c r="G25" s="12"/>
      <c r="H25" s="12"/>
      <c r="I25" s="12"/>
      <c r="J25" s="12"/>
      <c r="K25" s="12">
        <v>55</v>
      </c>
      <c r="L25" s="12" t="s">
        <v>401</v>
      </c>
      <c r="M25" s="13">
        <v>8583</v>
      </c>
      <c r="N25" s="12">
        <v>2006</v>
      </c>
      <c r="O25" s="12">
        <v>2028</v>
      </c>
    </row>
    <row r="26" spans="2:15" x14ac:dyDescent="0.2">
      <c r="B26" t="s">
        <v>309</v>
      </c>
      <c r="C26" t="s">
        <v>357</v>
      </c>
      <c r="D26" s="12"/>
      <c r="E26" s="12"/>
      <c r="F26" s="12"/>
      <c r="G26" s="12"/>
      <c r="H26" s="12"/>
      <c r="I26" s="12"/>
      <c r="J26" s="12"/>
      <c r="K26" s="12">
        <v>52</v>
      </c>
      <c r="L26" s="12" t="s">
        <v>402</v>
      </c>
      <c r="M26" s="12"/>
      <c r="N26" s="12">
        <v>2004</v>
      </c>
      <c r="O26" s="12">
        <v>2019</v>
      </c>
    </row>
    <row r="27" spans="2:15" x14ac:dyDescent="0.2">
      <c r="B27" t="s">
        <v>310</v>
      </c>
      <c r="C27" t="s">
        <v>358</v>
      </c>
      <c r="D27" s="12"/>
      <c r="E27" s="12"/>
      <c r="F27" s="12"/>
      <c r="G27" s="12"/>
      <c r="H27" s="12"/>
      <c r="I27" s="12"/>
      <c r="J27" s="12"/>
      <c r="K27" s="12">
        <v>50</v>
      </c>
      <c r="L27" s="12" t="s">
        <v>394</v>
      </c>
      <c r="M27" s="13">
        <v>5600</v>
      </c>
      <c r="N27" s="12"/>
      <c r="O27" s="12">
        <v>2039</v>
      </c>
    </row>
    <row r="28" spans="2:15" x14ac:dyDescent="0.2">
      <c r="B28" t="s">
        <v>311</v>
      </c>
      <c r="C28" t="s">
        <v>359</v>
      </c>
      <c r="D28" s="12"/>
      <c r="E28" s="12"/>
      <c r="F28" s="12"/>
      <c r="G28" s="12"/>
      <c r="H28" s="12"/>
      <c r="I28" s="12"/>
      <c r="J28" s="12"/>
      <c r="K28" s="12">
        <v>50</v>
      </c>
      <c r="L28" s="12" t="s">
        <v>403</v>
      </c>
      <c r="M28" s="13">
        <v>14147</v>
      </c>
      <c r="N28" s="12">
        <v>2017</v>
      </c>
      <c r="O28" s="12">
        <v>2037</v>
      </c>
    </row>
    <row r="29" spans="2:15" x14ac:dyDescent="0.2">
      <c r="B29" t="s">
        <v>312</v>
      </c>
      <c r="C29" t="s">
        <v>361</v>
      </c>
      <c r="D29" s="12"/>
      <c r="E29" s="12"/>
      <c r="F29" s="12"/>
      <c r="G29" s="12"/>
      <c r="H29" s="12"/>
      <c r="I29" s="12"/>
      <c r="J29" s="12"/>
      <c r="K29" s="12">
        <v>50</v>
      </c>
      <c r="L29" s="12" t="s">
        <v>404</v>
      </c>
      <c r="M29" s="13">
        <v>3347</v>
      </c>
      <c r="N29" s="12"/>
      <c r="O29" s="12">
        <v>2039</v>
      </c>
    </row>
    <row r="30" spans="2:15" x14ac:dyDescent="0.2">
      <c r="B30" t="s">
        <v>313</v>
      </c>
      <c r="C30" t="s">
        <v>362</v>
      </c>
      <c r="D30" s="12"/>
      <c r="E30" s="12"/>
      <c r="F30" s="12"/>
      <c r="G30" s="12"/>
      <c r="H30" s="12"/>
      <c r="I30" s="12"/>
      <c r="J30" s="12"/>
      <c r="K30" s="12">
        <v>50</v>
      </c>
      <c r="L30" s="12" t="s">
        <v>388</v>
      </c>
      <c r="M30" s="13">
        <v>11670</v>
      </c>
      <c r="N30" s="12"/>
      <c r="O30" s="12">
        <v>2029</v>
      </c>
    </row>
    <row r="31" spans="2:15" x14ac:dyDescent="0.2">
      <c r="B31" t="s">
        <v>314</v>
      </c>
      <c r="C31" t="s">
        <v>363</v>
      </c>
      <c r="D31" s="12"/>
      <c r="E31" s="12"/>
      <c r="F31" s="12"/>
      <c r="G31" s="12"/>
      <c r="H31" s="12"/>
      <c r="I31" s="12"/>
      <c r="J31" s="12"/>
      <c r="K31" s="12">
        <v>46</v>
      </c>
      <c r="L31" s="12" t="s">
        <v>485</v>
      </c>
      <c r="M31" s="12"/>
      <c r="N31" s="12">
        <v>2013</v>
      </c>
      <c r="O31" s="12">
        <v>2031</v>
      </c>
    </row>
    <row r="32" spans="2:15" x14ac:dyDescent="0.2">
      <c r="B32" t="s">
        <v>315</v>
      </c>
      <c r="D32" s="12"/>
      <c r="E32" s="12"/>
      <c r="F32" s="12"/>
      <c r="G32" s="12"/>
      <c r="H32" s="12"/>
      <c r="I32" s="12"/>
      <c r="J32" s="12"/>
      <c r="K32" s="12">
        <v>45</v>
      </c>
      <c r="L32" s="12" t="s">
        <v>399</v>
      </c>
      <c r="M32" s="13">
        <v>12385</v>
      </c>
      <c r="N32" s="12">
        <v>2014</v>
      </c>
      <c r="O32" s="12">
        <v>2034</v>
      </c>
    </row>
    <row r="33" spans="2:15" x14ac:dyDescent="0.2">
      <c r="B33" t="s">
        <v>287</v>
      </c>
      <c r="C33" t="s">
        <v>364</v>
      </c>
      <c r="D33" s="12"/>
      <c r="E33" s="12"/>
      <c r="F33" s="12"/>
      <c r="G33" s="12"/>
      <c r="H33" s="12"/>
      <c r="I33" s="12"/>
      <c r="J33" s="12"/>
      <c r="K33" s="12">
        <v>40</v>
      </c>
      <c r="L33" s="12" t="s">
        <v>399</v>
      </c>
      <c r="M33" s="13">
        <v>5254</v>
      </c>
      <c r="N33" s="12">
        <v>2014</v>
      </c>
      <c r="O33" s="12">
        <v>2027</v>
      </c>
    </row>
    <row r="34" spans="2:15" x14ac:dyDescent="0.2">
      <c r="B34" t="s">
        <v>316</v>
      </c>
      <c r="C34" t="s">
        <v>365</v>
      </c>
      <c r="D34" s="12"/>
      <c r="E34" s="12"/>
      <c r="F34" s="12"/>
      <c r="G34" s="12"/>
      <c r="H34" s="12"/>
      <c r="I34" s="12"/>
      <c r="J34" s="12"/>
      <c r="K34" s="12">
        <v>40</v>
      </c>
      <c r="L34" s="12" t="s">
        <v>405</v>
      </c>
      <c r="M34" s="13">
        <v>6141</v>
      </c>
      <c r="N34" s="12">
        <v>2015</v>
      </c>
      <c r="O34" s="12">
        <v>2026</v>
      </c>
    </row>
    <row r="35" spans="2:15" x14ac:dyDescent="0.2">
      <c r="B35" t="s">
        <v>317</v>
      </c>
      <c r="C35" t="s">
        <v>366</v>
      </c>
      <c r="D35" s="12"/>
      <c r="E35" s="12"/>
      <c r="F35" s="12"/>
      <c r="G35" s="12"/>
      <c r="H35" s="12"/>
      <c r="I35" s="12"/>
      <c r="J35" s="12"/>
      <c r="K35" s="12">
        <v>40</v>
      </c>
      <c r="L35" s="12" t="s">
        <v>392</v>
      </c>
      <c r="M35" s="13">
        <v>4367</v>
      </c>
      <c r="N35" s="12">
        <v>2015</v>
      </c>
      <c r="O35" s="12">
        <v>2027</v>
      </c>
    </row>
    <row r="36" spans="2:15" x14ac:dyDescent="0.2">
      <c r="B36" t="s">
        <v>318</v>
      </c>
      <c r="C36" t="s">
        <v>367</v>
      </c>
      <c r="D36" s="12"/>
      <c r="E36" s="12"/>
      <c r="F36" s="12"/>
      <c r="G36" s="12"/>
      <c r="H36" s="12"/>
      <c r="I36" s="12"/>
      <c r="J36" s="12"/>
      <c r="K36" s="12">
        <v>35</v>
      </c>
      <c r="L36" s="12" t="s">
        <v>405</v>
      </c>
      <c r="M36" s="13">
        <v>11718</v>
      </c>
      <c r="N36" s="12">
        <v>2019</v>
      </c>
      <c r="O36" s="12"/>
    </row>
    <row r="37" spans="2:15" x14ac:dyDescent="0.2">
      <c r="B37" t="s">
        <v>319</v>
      </c>
      <c r="C37" t="s">
        <v>368</v>
      </c>
      <c r="D37" s="12"/>
      <c r="E37" s="12"/>
      <c r="F37" s="12"/>
      <c r="G37" s="12"/>
      <c r="H37" s="12"/>
      <c r="I37" s="12"/>
      <c r="J37" s="12"/>
      <c r="K37" s="12">
        <v>35</v>
      </c>
      <c r="L37" s="12" t="s">
        <v>406</v>
      </c>
      <c r="M37" s="13">
        <v>4022</v>
      </c>
      <c r="N37" s="12">
        <v>2003</v>
      </c>
      <c r="O37" s="12">
        <v>2025</v>
      </c>
    </row>
    <row r="38" spans="2:15" x14ac:dyDescent="0.2">
      <c r="B38" t="s">
        <v>320</v>
      </c>
      <c r="C38" t="s">
        <v>369</v>
      </c>
      <c r="D38" s="12"/>
      <c r="E38" s="12"/>
      <c r="F38" s="12"/>
      <c r="G38" s="12"/>
      <c r="H38" s="12"/>
      <c r="I38" s="12"/>
      <c r="J38" s="12"/>
      <c r="K38" s="12">
        <v>35</v>
      </c>
      <c r="L38" s="12" t="s">
        <v>407</v>
      </c>
      <c r="M38" s="13">
        <v>7655</v>
      </c>
      <c r="N38" s="12"/>
      <c r="O38" s="12">
        <v>2026</v>
      </c>
    </row>
    <row r="39" spans="2:15" x14ac:dyDescent="0.2">
      <c r="B39" t="s">
        <v>321</v>
      </c>
      <c r="C39" t="s">
        <v>370</v>
      </c>
      <c r="D39" s="12"/>
      <c r="E39" s="12"/>
      <c r="F39" s="12"/>
      <c r="G39" s="12"/>
      <c r="H39" s="12"/>
      <c r="I39" s="12"/>
      <c r="J39" s="12"/>
      <c r="K39" s="12">
        <v>35</v>
      </c>
      <c r="L39" s="12" t="s">
        <v>408</v>
      </c>
      <c r="M39" s="13">
        <v>7656</v>
      </c>
      <c r="N39" s="12">
        <v>2017</v>
      </c>
      <c r="O39" s="12">
        <v>2029</v>
      </c>
    </row>
    <row r="40" spans="2:15" x14ac:dyDescent="0.2">
      <c r="B40" t="s">
        <v>322</v>
      </c>
      <c r="D40" s="12"/>
      <c r="E40" s="12"/>
      <c r="F40" s="12"/>
      <c r="G40" s="12"/>
      <c r="H40" s="12"/>
      <c r="I40" s="12"/>
      <c r="J40" s="12"/>
      <c r="K40" s="12">
        <v>35</v>
      </c>
      <c r="L40" s="12" t="s">
        <v>409</v>
      </c>
      <c r="M40" s="13">
        <v>5716</v>
      </c>
      <c r="N40" s="12">
        <v>2014</v>
      </c>
      <c r="O40" s="12">
        <v>2025</v>
      </c>
    </row>
    <row r="41" spans="2:15" x14ac:dyDescent="0.2">
      <c r="B41" t="s">
        <v>323</v>
      </c>
      <c r="C41" t="s">
        <v>371</v>
      </c>
      <c r="D41" s="12"/>
      <c r="E41" s="12"/>
      <c r="F41" s="12"/>
      <c r="G41" s="12"/>
      <c r="H41" s="12"/>
      <c r="I41" s="12"/>
      <c r="J41" s="12"/>
      <c r="K41" s="12">
        <v>30</v>
      </c>
      <c r="L41" s="12" t="s">
        <v>410</v>
      </c>
      <c r="M41" s="13">
        <v>5380</v>
      </c>
      <c r="N41" s="12">
        <v>2021</v>
      </c>
      <c r="O41" s="12">
        <v>2037</v>
      </c>
    </row>
    <row r="42" spans="2:15" x14ac:dyDescent="0.2">
      <c r="B42" t="s">
        <v>324</v>
      </c>
      <c r="C42" t="s">
        <v>372</v>
      </c>
      <c r="D42" s="12"/>
      <c r="E42" s="12"/>
      <c r="F42" s="12"/>
      <c r="G42" s="12"/>
      <c r="H42" s="12"/>
      <c r="I42" s="12"/>
      <c r="J42" s="12"/>
      <c r="K42" s="12">
        <v>30</v>
      </c>
      <c r="L42" s="12" t="s">
        <v>392</v>
      </c>
      <c r="M42" s="13">
        <v>4104</v>
      </c>
      <c r="N42" s="12">
        <v>2012</v>
      </c>
      <c r="O42" s="12">
        <v>2028</v>
      </c>
    </row>
    <row r="43" spans="2:15" x14ac:dyDescent="0.2">
      <c r="B43" t="s">
        <v>325</v>
      </c>
      <c r="C43" t="s">
        <v>373</v>
      </c>
      <c r="D43" s="12"/>
      <c r="E43" s="12"/>
      <c r="F43" s="12"/>
      <c r="G43" s="12"/>
      <c r="H43" s="12"/>
      <c r="I43" s="12"/>
      <c r="J43" s="12"/>
      <c r="K43" s="12">
        <v>30</v>
      </c>
      <c r="L43" s="12" t="s">
        <v>389</v>
      </c>
      <c r="M43" s="13">
        <v>3682</v>
      </c>
      <c r="N43" s="12">
        <v>2005</v>
      </c>
      <c r="O43" s="12">
        <v>2025</v>
      </c>
    </row>
    <row r="44" spans="2:15" x14ac:dyDescent="0.2">
      <c r="B44" t="s">
        <v>326</v>
      </c>
      <c r="C44" t="s">
        <v>374</v>
      </c>
      <c r="D44" s="12"/>
      <c r="E44" s="12"/>
      <c r="F44" s="12"/>
      <c r="G44" s="12"/>
      <c r="H44" s="12"/>
      <c r="I44" s="12"/>
      <c r="J44" s="12"/>
      <c r="K44" s="12">
        <v>30</v>
      </c>
      <c r="L44" s="12" t="s">
        <v>411</v>
      </c>
      <c r="M44" s="13">
        <v>7882</v>
      </c>
      <c r="N44" s="12">
        <v>2015</v>
      </c>
      <c r="O44" s="12">
        <v>2030</v>
      </c>
    </row>
    <row r="45" spans="2:15" x14ac:dyDescent="0.2">
      <c r="B45" t="s">
        <v>327</v>
      </c>
      <c r="C45" t="s">
        <v>375</v>
      </c>
      <c r="D45" s="12"/>
      <c r="E45" s="12"/>
      <c r="F45" s="12"/>
      <c r="G45" s="12"/>
      <c r="H45" s="12"/>
      <c r="I45" s="12"/>
      <c r="J45" s="12"/>
      <c r="K45" s="12">
        <v>25</v>
      </c>
      <c r="L45" s="12" t="s">
        <v>412</v>
      </c>
      <c r="M45" s="13">
        <v>6580</v>
      </c>
      <c r="N45" s="12">
        <v>2015</v>
      </c>
      <c r="O45" s="12">
        <v>2033</v>
      </c>
    </row>
    <row r="46" spans="2:15" x14ac:dyDescent="0.2">
      <c r="B46" t="s">
        <v>328</v>
      </c>
      <c r="C46" t="s">
        <v>376</v>
      </c>
      <c r="D46" s="12"/>
      <c r="E46" s="12"/>
      <c r="F46" s="12"/>
      <c r="G46" s="12"/>
      <c r="H46" s="12"/>
      <c r="I46" s="12"/>
      <c r="J46" s="12"/>
      <c r="K46" s="12">
        <v>25</v>
      </c>
      <c r="L46" s="12" t="s">
        <v>392</v>
      </c>
      <c r="M46" s="13">
        <v>5307</v>
      </c>
      <c r="N46" s="12">
        <v>2017</v>
      </c>
      <c r="O46" s="12">
        <v>2029</v>
      </c>
    </row>
    <row r="47" spans="2:15" x14ac:dyDescent="0.2">
      <c r="B47" t="s">
        <v>329</v>
      </c>
      <c r="C47" t="s">
        <v>377</v>
      </c>
      <c r="D47" s="12"/>
      <c r="E47" s="12"/>
      <c r="F47" s="12"/>
      <c r="G47" s="12"/>
      <c r="H47" s="12"/>
      <c r="I47" s="12"/>
      <c r="J47" s="12"/>
      <c r="K47" s="12">
        <v>25</v>
      </c>
      <c r="L47" s="12" t="s">
        <v>387</v>
      </c>
      <c r="M47" s="13">
        <v>4717</v>
      </c>
      <c r="N47" s="12">
        <v>2017</v>
      </c>
      <c r="O47" s="12">
        <v>2035</v>
      </c>
    </row>
    <row r="48" spans="2:15" x14ac:dyDescent="0.2">
      <c r="B48" t="s">
        <v>330</v>
      </c>
      <c r="D48" s="12"/>
      <c r="E48" s="12"/>
      <c r="F48" s="12"/>
      <c r="G48" s="12"/>
      <c r="H48" s="12"/>
      <c r="I48" s="12"/>
      <c r="J48" s="12"/>
      <c r="K48" s="12">
        <v>25</v>
      </c>
      <c r="L48" s="12" t="s">
        <v>413</v>
      </c>
      <c r="M48" s="13">
        <v>10238</v>
      </c>
      <c r="N48" s="12">
        <v>2019</v>
      </c>
      <c r="O48" s="12">
        <v>2035</v>
      </c>
    </row>
    <row r="49" spans="2:15" x14ac:dyDescent="0.2">
      <c r="B49" t="s">
        <v>331</v>
      </c>
      <c r="C49" t="s">
        <v>378</v>
      </c>
      <c r="D49" s="12"/>
      <c r="E49" s="12"/>
      <c r="F49" s="12"/>
      <c r="G49" s="12"/>
      <c r="H49" s="12"/>
      <c r="I49" s="12"/>
      <c r="J49" s="12"/>
      <c r="K49" s="12">
        <v>25</v>
      </c>
      <c r="L49" s="12" t="s">
        <v>414</v>
      </c>
      <c r="M49" s="13">
        <v>4374</v>
      </c>
      <c r="N49" s="12">
        <v>2010</v>
      </c>
      <c r="O49" s="12">
        <v>2029</v>
      </c>
    </row>
    <row r="50" spans="2:15" x14ac:dyDescent="0.2">
      <c r="B50" t="s">
        <v>332</v>
      </c>
      <c r="C50" t="s">
        <v>379</v>
      </c>
      <c r="D50" s="12"/>
      <c r="E50" s="12"/>
      <c r="F50" s="12"/>
      <c r="G50" s="12"/>
      <c r="H50" s="12"/>
      <c r="I50" s="12"/>
      <c r="J50" s="12"/>
      <c r="K50" s="12">
        <v>20</v>
      </c>
      <c r="L50" s="12" t="s">
        <v>415</v>
      </c>
      <c r="M50" s="13">
        <v>5111</v>
      </c>
      <c r="N50" s="12">
        <v>2017</v>
      </c>
      <c r="O50" s="12">
        <v>2033</v>
      </c>
    </row>
    <row r="51" spans="2:15" x14ac:dyDescent="0.2">
      <c r="B51" t="s">
        <v>333</v>
      </c>
      <c r="C51" t="s">
        <v>380</v>
      </c>
      <c r="D51" s="12"/>
      <c r="E51" s="12"/>
      <c r="F51" s="12"/>
      <c r="G51" s="12"/>
      <c r="H51" s="12"/>
      <c r="I51" s="12"/>
      <c r="J51" s="12"/>
      <c r="K51" s="12">
        <v>20</v>
      </c>
      <c r="L51" s="12" t="s">
        <v>389</v>
      </c>
      <c r="M51" s="13">
        <v>5971</v>
      </c>
      <c r="N51" s="12">
        <v>2019</v>
      </c>
      <c r="O51" s="12">
        <v>2036</v>
      </c>
    </row>
    <row r="52" spans="2:15" x14ac:dyDescent="0.2">
      <c r="B52" t="s">
        <v>286</v>
      </c>
      <c r="C52" t="s">
        <v>384</v>
      </c>
      <c r="D52" s="12"/>
      <c r="E52" s="12"/>
      <c r="F52" s="12"/>
      <c r="G52" s="12"/>
      <c r="H52" s="12"/>
      <c r="I52" s="12"/>
      <c r="J52" s="12"/>
      <c r="K52" s="12">
        <v>20</v>
      </c>
      <c r="L52" s="12" t="s">
        <v>399</v>
      </c>
      <c r="M52" s="13">
        <v>11540</v>
      </c>
      <c r="N52" s="12">
        <v>2022</v>
      </c>
      <c r="O52" s="12">
        <v>2041</v>
      </c>
    </row>
    <row r="53" spans="2:15" x14ac:dyDescent="0.2">
      <c r="B53" t="s">
        <v>334</v>
      </c>
      <c r="C53" t="s">
        <v>381</v>
      </c>
      <c r="D53" s="12"/>
      <c r="E53" s="12"/>
      <c r="F53" s="12"/>
      <c r="G53" s="12"/>
      <c r="H53" s="12"/>
      <c r="I53" s="12"/>
      <c r="J53" s="12"/>
      <c r="K53" s="12">
        <v>20</v>
      </c>
      <c r="L53" s="12" t="s">
        <v>387</v>
      </c>
      <c r="M53" s="13">
        <v>4132</v>
      </c>
      <c r="N53" s="12">
        <v>2016</v>
      </c>
      <c r="O53" s="12">
        <v>2032</v>
      </c>
    </row>
    <row r="54" spans="2:15" x14ac:dyDescent="0.2">
      <c r="B54" t="s">
        <v>335</v>
      </c>
      <c r="C54" t="s">
        <v>382</v>
      </c>
      <c r="D54" s="12"/>
      <c r="E54" s="12"/>
      <c r="F54" s="12"/>
      <c r="G54" s="12"/>
      <c r="H54" s="12"/>
      <c r="I54" s="12"/>
      <c r="J54" s="12"/>
      <c r="K54" s="12">
        <v>18</v>
      </c>
      <c r="L54" s="12" t="s">
        <v>416</v>
      </c>
      <c r="M54" s="13">
        <v>5451</v>
      </c>
      <c r="N54" s="12">
        <v>2019</v>
      </c>
      <c r="O54" s="12">
        <v>2036</v>
      </c>
    </row>
    <row r="55" spans="2:15" x14ac:dyDescent="0.2">
      <c r="B55" t="s">
        <v>336</v>
      </c>
      <c r="C55" t="s">
        <v>355</v>
      </c>
      <c r="D55" s="12"/>
      <c r="E55" s="12"/>
      <c r="F55" s="12"/>
      <c r="G55" s="12"/>
      <c r="H55" s="12"/>
      <c r="I55" s="12"/>
      <c r="J55" s="12"/>
      <c r="K55" s="12">
        <v>15</v>
      </c>
      <c r="L55" s="12" t="s">
        <v>417</v>
      </c>
      <c r="M55" s="13">
        <v>8442</v>
      </c>
      <c r="N55" s="12">
        <v>2021</v>
      </c>
      <c r="O55" s="12">
        <v>2041</v>
      </c>
    </row>
    <row r="56" spans="2:15" x14ac:dyDescent="0.2">
      <c r="B56" t="s">
        <v>337</v>
      </c>
      <c r="C56" t="s">
        <v>383</v>
      </c>
      <c r="D56" s="12"/>
      <c r="E56" s="12"/>
      <c r="F56" s="12"/>
      <c r="G56" s="12"/>
      <c r="H56" s="12"/>
      <c r="I56" s="12"/>
      <c r="J56" s="12"/>
      <c r="K56" s="12">
        <v>15</v>
      </c>
      <c r="L56" s="12" t="s">
        <v>405</v>
      </c>
      <c r="M56" s="13">
        <v>3670</v>
      </c>
      <c r="N56" s="12">
        <v>2017</v>
      </c>
      <c r="O56" s="12">
        <v>2034</v>
      </c>
    </row>
    <row r="57" spans="2:15" x14ac:dyDescent="0.2">
      <c r="B57" t="s">
        <v>603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5291</v>
      </c>
      <c r="N57" s="12">
        <v>2014</v>
      </c>
      <c r="O57" s="12">
        <v>2034</v>
      </c>
    </row>
    <row r="58" spans="2:15" x14ac:dyDescent="0.2">
      <c r="B58" t="s">
        <v>604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4983</v>
      </c>
      <c r="N58" s="12">
        <v>2018</v>
      </c>
      <c r="O58" s="12">
        <v>2032</v>
      </c>
    </row>
    <row r="59" spans="2:15" x14ac:dyDescent="0.2">
      <c r="B59" t="s">
        <v>605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4386</v>
      </c>
      <c r="N59" s="12">
        <v>2023</v>
      </c>
      <c r="O59" s="12">
        <v>2042</v>
      </c>
    </row>
    <row r="60" spans="2:15" x14ac:dyDescent="0.2">
      <c r="B60" t="s">
        <v>606</v>
      </c>
      <c r="D60" s="12"/>
      <c r="E60" s="12"/>
      <c r="F60" s="12"/>
      <c r="G60" s="12"/>
      <c r="H60" s="12"/>
      <c r="I60" s="12"/>
      <c r="J60" s="12"/>
      <c r="K60" s="12"/>
      <c r="L60" s="12"/>
      <c r="M60" s="13">
        <v>4342</v>
      </c>
      <c r="N60" s="12">
        <v>2017</v>
      </c>
      <c r="O60" s="12">
        <v>2036</v>
      </c>
    </row>
    <row r="61" spans="2:15" x14ac:dyDescent="0.2">
      <c r="B61" t="s">
        <v>607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4222</v>
      </c>
      <c r="N61" s="12">
        <v>2009</v>
      </c>
      <c r="O61" s="12">
        <v>2029</v>
      </c>
    </row>
    <row r="62" spans="2:15" x14ac:dyDescent="0.2">
      <c r="B62" t="s">
        <v>608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4076</v>
      </c>
      <c r="N62" s="12">
        <v>2014</v>
      </c>
      <c r="O62" s="12">
        <v>2029</v>
      </c>
    </row>
    <row r="63" spans="2:15" x14ac:dyDescent="0.2">
      <c r="B63" t="s">
        <v>609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3545</v>
      </c>
      <c r="N63" s="12">
        <v>2013</v>
      </c>
      <c r="O63" s="12">
        <v>2029</v>
      </c>
    </row>
    <row r="64" spans="2:15" x14ac:dyDescent="0.2">
      <c r="B64" t="s">
        <v>610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3381</v>
      </c>
      <c r="N64" s="12">
        <v>2019</v>
      </c>
      <c r="O64" s="12">
        <v>2038</v>
      </c>
    </row>
    <row r="65" spans="2:15" x14ac:dyDescent="0.2">
      <c r="B65" t="s">
        <v>477</v>
      </c>
      <c r="C65" t="s">
        <v>479</v>
      </c>
    </row>
    <row r="66" spans="2:15" x14ac:dyDescent="0.2">
      <c r="B66" t="s">
        <v>480</v>
      </c>
      <c r="C66" t="s">
        <v>479</v>
      </c>
    </row>
    <row r="67" spans="2:15" x14ac:dyDescent="0.2">
      <c r="B67" t="s">
        <v>478</v>
      </c>
      <c r="C67" t="s">
        <v>481</v>
      </c>
    </row>
    <row r="68" spans="2:15" x14ac:dyDescent="0.2"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2"/>
      <c r="O68" s="12"/>
    </row>
    <row r="70" spans="2:15" x14ac:dyDescent="0.2">
      <c r="B70" t="s">
        <v>615</v>
      </c>
      <c r="C70" t="s">
        <v>615</v>
      </c>
    </row>
    <row r="71" spans="2:15" x14ac:dyDescent="0.2">
      <c r="B71" t="s">
        <v>616</v>
      </c>
      <c r="C71" t="s">
        <v>616</v>
      </c>
    </row>
    <row r="72" spans="2:15" x14ac:dyDescent="0.2">
      <c r="B72" t="s">
        <v>617</v>
      </c>
      <c r="C72" t="s">
        <v>617</v>
      </c>
      <c r="F72" t="s">
        <v>675</v>
      </c>
      <c r="L72" t="s">
        <v>451</v>
      </c>
    </row>
    <row r="73" spans="2:15" x14ac:dyDescent="0.2">
      <c r="B73" t="s">
        <v>618</v>
      </c>
      <c r="C73" t="s">
        <v>618</v>
      </c>
    </row>
    <row r="74" spans="2:15" x14ac:dyDescent="0.2">
      <c r="B74" t="s">
        <v>619</v>
      </c>
      <c r="C74" t="s">
        <v>619</v>
      </c>
    </row>
    <row r="75" spans="2:15" x14ac:dyDescent="0.2">
      <c r="B75" t="s">
        <v>620</v>
      </c>
      <c r="C75" t="s">
        <v>620</v>
      </c>
    </row>
    <row r="76" spans="2:15" x14ac:dyDescent="0.2">
      <c r="B76" t="s">
        <v>621</v>
      </c>
      <c r="C76" t="s">
        <v>621</v>
      </c>
    </row>
    <row r="77" spans="2:15" x14ac:dyDescent="0.2">
      <c r="B77" t="s">
        <v>622</v>
      </c>
      <c r="C77" t="s">
        <v>622</v>
      </c>
    </row>
    <row r="78" spans="2:15" x14ac:dyDescent="0.2">
      <c r="B78" t="s">
        <v>623</v>
      </c>
      <c r="C78" t="s">
        <v>623</v>
      </c>
    </row>
    <row r="79" spans="2:15" x14ac:dyDescent="0.2">
      <c r="B79" t="s">
        <v>624</v>
      </c>
      <c r="C79" t="s">
        <v>624</v>
      </c>
    </row>
    <row r="80" spans="2:15" x14ac:dyDescent="0.2">
      <c r="B80" t="s">
        <v>625</v>
      </c>
      <c r="C80" t="s">
        <v>625</v>
      </c>
    </row>
    <row r="81" spans="2:3" x14ac:dyDescent="0.2">
      <c r="B81" t="s">
        <v>626</v>
      </c>
      <c r="C81" t="s">
        <v>626</v>
      </c>
    </row>
    <row r="82" spans="2:3" x14ac:dyDescent="0.2">
      <c r="B82" t="s">
        <v>627</v>
      </c>
      <c r="C82" t="s">
        <v>627</v>
      </c>
    </row>
    <row r="83" spans="2:3" x14ac:dyDescent="0.2">
      <c r="B83" t="s">
        <v>628</v>
      </c>
      <c r="C83" t="s">
        <v>628</v>
      </c>
    </row>
    <row r="84" spans="2:3" x14ac:dyDescent="0.2">
      <c r="B84" t="s">
        <v>629</v>
      </c>
      <c r="C84" t="s">
        <v>629</v>
      </c>
    </row>
    <row r="85" spans="2:3" x14ac:dyDescent="0.2">
      <c r="B85" t="s">
        <v>630</v>
      </c>
      <c r="C85" t="s">
        <v>630</v>
      </c>
    </row>
    <row r="86" spans="2:3" x14ac:dyDescent="0.2">
      <c r="B86" t="s">
        <v>631</v>
      </c>
      <c r="C86" t="s">
        <v>631</v>
      </c>
    </row>
    <row r="87" spans="2:3" x14ac:dyDescent="0.2">
      <c r="B87" t="s">
        <v>632</v>
      </c>
      <c r="C87" t="s">
        <v>632</v>
      </c>
    </row>
    <row r="88" spans="2:3" x14ac:dyDescent="0.2">
      <c r="B88" t="s">
        <v>633</v>
      </c>
      <c r="C88" t="s">
        <v>633</v>
      </c>
    </row>
    <row r="89" spans="2:3" x14ac:dyDescent="0.2">
      <c r="B89" t="s">
        <v>634</v>
      </c>
      <c r="C89" t="s">
        <v>634</v>
      </c>
    </row>
    <row r="90" spans="2:3" x14ac:dyDescent="0.2">
      <c r="B90" t="s">
        <v>635</v>
      </c>
      <c r="C90" t="s">
        <v>635</v>
      </c>
    </row>
    <row r="91" spans="2:3" x14ac:dyDescent="0.2">
      <c r="B91" t="s">
        <v>636</v>
      </c>
      <c r="C91" t="s">
        <v>636</v>
      </c>
    </row>
    <row r="92" spans="2:3" x14ac:dyDescent="0.2">
      <c r="B92" t="s">
        <v>637</v>
      </c>
      <c r="C92" t="s">
        <v>637</v>
      </c>
    </row>
    <row r="93" spans="2:3" x14ac:dyDescent="0.2">
      <c r="B93" t="s">
        <v>638</v>
      </c>
      <c r="C93" t="s">
        <v>638</v>
      </c>
    </row>
    <row r="94" spans="2:3" x14ac:dyDescent="0.2">
      <c r="B94" t="s">
        <v>639</v>
      </c>
      <c r="C94" t="s">
        <v>639</v>
      </c>
    </row>
    <row r="95" spans="2:3" x14ac:dyDescent="0.2">
      <c r="B95" t="s">
        <v>640</v>
      </c>
      <c r="C95" t="s">
        <v>640</v>
      </c>
    </row>
    <row r="96" spans="2:3" x14ac:dyDescent="0.2">
      <c r="B96" t="s">
        <v>641</v>
      </c>
      <c r="C96" t="s">
        <v>641</v>
      </c>
    </row>
    <row r="97" spans="2:14" x14ac:dyDescent="0.2">
      <c r="B97" t="s">
        <v>642</v>
      </c>
      <c r="C97" t="s">
        <v>642</v>
      </c>
    </row>
    <row r="98" spans="2:14" x14ac:dyDescent="0.2">
      <c r="B98" t="s">
        <v>643</v>
      </c>
      <c r="C98" t="s">
        <v>643</v>
      </c>
    </row>
    <row r="99" spans="2:14" x14ac:dyDescent="0.2">
      <c r="B99" t="s">
        <v>644</v>
      </c>
      <c r="C99" t="s">
        <v>644</v>
      </c>
    </row>
    <row r="100" spans="2:14" x14ac:dyDescent="0.2">
      <c r="B100" t="s">
        <v>645</v>
      </c>
      <c r="C100" t="s">
        <v>645</v>
      </c>
    </row>
    <row r="101" spans="2:14" x14ac:dyDescent="0.2">
      <c r="B101" t="s">
        <v>646</v>
      </c>
      <c r="C101" t="s">
        <v>646</v>
      </c>
    </row>
    <row r="102" spans="2:14" x14ac:dyDescent="0.2">
      <c r="B102" t="s">
        <v>612</v>
      </c>
      <c r="C102" t="s">
        <v>612</v>
      </c>
      <c r="I102" t="s">
        <v>613</v>
      </c>
      <c r="L102" s="12" t="s">
        <v>611</v>
      </c>
      <c r="N102" s="12">
        <v>1955</v>
      </c>
    </row>
    <row r="103" spans="2:14" x14ac:dyDescent="0.2">
      <c r="B103" t="s">
        <v>647</v>
      </c>
      <c r="C103" t="s">
        <v>647</v>
      </c>
    </row>
    <row r="104" spans="2:14" x14ac:dyDescent="0.2">
      <c r="B104" t="s">
        <v>648</v>
      </c>
      <c r="C104" t="s">
        <v>648</v>
      </c>
    </row>
    <row r="105" spans="2:14" x14ac:dyDescent="0.2">
      <c r="B105" t="s">
        <v>348</v>
      </c>
      <c r="C105" t="s">
        <v>348</v>
      </c>
    </row>
    <row r="106" spans="2:14" x14ac:dyDescent="0.2">
      <c r="B106" t="s">
        <v>649</v>
      </c>
      <c r="C106" t="s">
        <v>649</v>
      </c>
    </row>
    <row r="107" spans="2:14" x14ac:dyDescent="0.2">
      <c r="B107" t="s">
        <v>650</v>
      </c>
      <c r="C107" t="s">
        <v>650</v>
      </c>
    </row>
    <row r="108" spans="2:14" x14ac:dyDescent="0.2">
      <c r="B108" t="s">
        <v>651</v>
      </c>
      <c r="C108" t="s">
        <v>651</v>
      </c>
    </row>
    <row r="109" spans="2:14" x14ac:dyDescent="0.2">
      <c r="B109" t="s">
        <v>652</v>
      </c>
      <c r="C109" t="s">
        <v>652</v>
      </c>
    </row>
    <row r="110" spans="2:14" x14ac:dyDescent="0.2">
      <c r="B110" t="s">
        <v>653</v>
      </c>
      <c r="C110" t="s">
        <v>653</v>
      </c>
    </row>
    <row r="111" spans="2:14" x14ac:dyDescent="0.2">
      <c r="B111" t="s">
        <v>654</v>
      </c>
      <c r="C111" t="s">
        <v>654</v>
      </c>
    </row>
    <row r="112" spans="2:14" x14ac:dyDescent="0.2">
      <c r="B112" t="s">
        <v>655</v>
      </c>
      <c r="C112" t="s">
        <v>655</v>
      </c>
    </row>
    <row r="113" spans="2:3" x14ac:dyDescent="0.2">
      <c r="B113" t="s">
        <v>656</v>
      </c>
      <c r="C113" t="s">
        <v>656</v>
      </c>
    </row>
    <row r="114" spans="2:3" x14ac:dyDescent="0.2">
      <c r="B114" t="s">
        <v>657</v>
      </c>
      <c r="C114" t="s">
        <v>657</v>
      </c>
    </row>
    <row r="115" spans="2:3" x14ac:dyDescent="0.2">
      <c r="B115" t="s">
        <v>658</v>
      </c>
      <c r="C115" t="s">
        <v>658</v>
      </c>
    </row>
    <row r="116" spans="2:3" x14ac:dyDescent="0.2">
      <c r="B116" t="s">
        <v>659</v>
      </c>
      <c r="C116" t="s">
        <v>659</v>
      </c>
    </row>
    <row r="117" spans="2:3" x14ac:dyDescent="0.2">
      <c r="B117" t="s">
        <v>660</v>
      </c>
      <c r="C117" t="s">
        <v>660</v>
      </c>
    </row>
    <row r="118" spans="2:3" x14ac:dyDescent="0.2">
      <c r="B118" t="s">
        <v>661</v>
      </c>
      <c r="C118" t="s">
        <v>661</v>
      </c>
    </row>
    <row r="119" spans="2:3" x14ac:dyDescent="0.2">
      <c r="B119" t="s">
        <v>662</v>
      </c>
      <c r="C119" t="s">
        <v>662</v>
      </c>
    </row>
    <row r="120" spans="2:3" x14ac:dyDescent="0.2">
      <c r="B120" t="s">
        <v>663</v>
      </c>
      <c r="C120" t="s">
        <v>663</v>
      </c>
    </row>
    <row r="121" spans="2:3" x14ac:dyDescent="0.2">
      <c r="B121" t="s">
        <v>664</v>
      </c>
      <c r="C121" t="s">
        <v>664</v>
      </c>
    </row>
    <row r="122" spans="2:3" x14ac:dyDescent="0.2">
      <c r="B122" t="s">
        <v>665</v>
      </c>
      <c r="C122" t="s">
        <v>665</v>
      </c>
    </row>
    <row r="123" spans="2:3" x14ac:dyDescent="0.2">
      <c r="B123" t="s">
        <v>666</v>
      </c>
      <c r="C123" t="s">
        <v>666</v>
      </c>
    </row>
    <row r="124" spans="2:3" x14ac:dyDescent="0.2">
      <c r="B124" t="s">
        <v>667</v>
      </c>
      <c r="C124" t="s">
        <v>667</v>
      </c>
    </row>
    <row r="125" spans="2:3" x14ac:dyDescent="0.2">
      <c r="B125" t="s">
        <v>668</v>
      </c>
      <c r="C125" t="s">
        <v>668</v>
      </c>
    </row>
    <row r="126" spans="2:3" x14ac:dyDescent="0.2">
      <c r="B126" t="s">
        <v>669</v>
      </c>
      <c r="C126" t="s">
        <v>669</v>
      </c>
    </row>
    <row r="127" spans="2:3" x14ac:dyDescent="0.2">
      <c r="B127" t="s">
        <v>629</v>
      </c>
      <c r="C127" t="s">
        <v>629</v>
      </c>
    </row>
    <row r="128" spans="2:3" x14ac:dyDescent="0.2">
      <c r="B128" t="s">
        <v>670</v>
      </c>
      <c r="C128" t="s">
        <v>670</v>
      </c>
    </row>
    <row r="129" spans="2:3" x14ac:dyDescent="0.2">
      <c r="B129" t="s">
        <v>671</v>
      </c>
      <c r="C129" t="s">
        <v>671</v>
      </c>
    </row>
    <row r="130" spans="2:3" x14ac:dyDescent="0.2">
      <c r="B130" t="s">
        <v>672</v>
      </c>
      <c r="C130" t="s">
        <v>672</v>
      </c>
    </row>
    <row r="131" spans="2:3" x14ac:dyDescent="0.2">
      <c r="B131" t="s">
        <v>673</v>
      </c>
      <c r="C131" t="s">
        <v>673</v>
      </c>
    </row>
    <row r="136" spans="2:3" x14ac:dyDescent="0.2">
      <c r="C136" t="s">
        <v>674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8C1E-B59B-40F8-80DC-62A32A02DE98}">
  <dimension ref="A1:DB130"/>
  <sheetViews>
    <sheetView tabSelected="1" zoomScale="115" zoomScaleNormal="115" workbookViewId="0">
      <pane xSplit="2" ySplit="2" topLeftCell="F108" activePane="bottomRight" state="frozen"/>
      <selection pane="topRight" activeCell="C1" sqref="C1"/>
      <selection pane="bottomLeft" activeCell="A5" sqref="A5"/>
      <selection pane="bottomRight" activeCell="G131" sqref="G131"/>
    </sheetView>
  </sheetViews>
  <sheetFormatPr defaultRowHeight="12.75" x14ac:dyDescent="0.2"/>
  <cols>
    <col min="1" max="1" width="5" bestFit="1" customWidth="1"/>
    <col min="2" max="2" width="28.7109375" bestFit="1" customWidth="1"/>
    <col min="3" max="3" width="18.7109375" bestFit="1" customWidth="1"/>
    <col min="4" max="4" width="10" bestFit="1" customWidth="1"/>
    <col min="5" max="5" width="10.7109375" bestFit="1" customWidth="1"/>
    <col min="6" max="6" width="17.42578125" bestFit="1" customWidth="1"/>
    <col min="7" max="7" width="94.140625" bestFit="1" customWidth="1"/>
    <col min="8" max="8" width="19.42578125" bestFit="1" customWidth="1"/>
    <col min="9" max="9" width="14.85546875" bestFit="1" customWidth="1"/>
    <col min="10" max="10" width="58.7109375" bestFit="1" customWidth="1"/>
    <col min="11" max="11" width="21.7109375" bestFit="1" customWidth="1"/>
    <col min="12" max="12" width="13.85546875" customWidth="1"/>
    <col min="13" max="13" width="25.5703125" bestFit="1" customWidth="1"/>
    <col min="14" max="14" width="12.42578125" bestFit="1" customWidth="1"/>
    <col min="15" max="15" width="11.42578125" bestFit="1" customWidth="1"/>
    <col min="16" max="16" width="15" bestFit="1" customWidth="1"/>
    <col min="17" max="17" width="16.42578125" bestFit="1" customWidth="1"/>
    <col min="18" max="18" width="10.28515625" bestFit="1" customWidth="1"/>
    <col min="19" max="19" width="9.85546875" bestFit="1" customWidth="1"/>
    <col min="20" max="20" width="10.42578125" bestFit="1" customWidth="1"/>
    <col min="21" max="21" width="51.42578125" bestFit="1" customWidth="1"/>
    <col min="22" max="22" width="61.140625" bestFit="1" customWidth="1"/>
    <col min="23" max="23" width="9.140625" style="17"/>
  </cols>
  <sheetData>
    <row r="1" spans="1:28" x14ac:dyDescent="0.2">
      <c r="A1" s="1" t="s">
        <v>16</v>
      </c>
      <c r="B1" s="9"/>
      <c r="C1" t="s">
        <v>523</v>
      </c>
      <c r="D1" t="s">
        <v>510</v>
      </c>
      <c r="E1" t="s">
        <v>524</v>
      </c>
      <c r="W1"/>
    </row>
    <row r="2" spans="1:28" x14ac:dyDescent="0.2">
      <c r="B2" t="s">
        <v>344</v>
      </c>
      <c r="C2" t="s">
        <v>459</v>
      </c>
      <c r="D2" t="s">
        <v>473</v>
      </c>
      <c r="E2" t="s">
        <v>511</v>
      </c>
      <c r="F2" t="s">
        <v>460</v>
      </c>
      <c r="G2" t="s">
        <v>461</v>
      </c>
      <c r="H2" t="s">
        <v>462</v>
      </c>
      <c r="I2" t="s">
        <v>465</v>
      </c>
      <c r="J2" t="s">
        <v>466</v>
      </c>
      <c r="K2" t="s">
        <v>467</v>
      </c>
      <c r="L2" t="s">
        <v>597</v>
      </c>
      <c r="M2" t="s">
        <v>474</v>
      </c>
      <c r="N2" t="s">
        <v>468</v>
      </c>
      <c r="O2" t="s">
        <v>472</v>
      </c>
      <c r="P2" t="s">
        <v>469</v>
      </c>
      <c r="Q2" t="s">
        <v>470</v>
      </c>
      <c r="R2" t="s">
        <v>471</v>
      </c>
      <c r="S2" t="s">
        <v>475</v>
      </c>
      <c r="T2" t="s">
        <v>476</v>
      </c>
      <c r="U2" t="s">
        <v>483</v>
      </c>
      <c r="V2" t="s">
        <v>778</v>
      </c>
      <c r="W2" t="s">
        <v>779</v>
      </c>
    </row>
    <row r="3" spans="1:28" x14ac:dyDescent="0.2">
      <c r="B3" t="s">
        <v>508</v>
      </c>
      <c r="C3" s="13">
        <v>84000</v>
      </c>
      <c r="D3" s="13">
        <v>1700</v>
      </c>
      <c r="E3" s="13" t="s">
        <v>514</v>
      </c>
      <c r="F3" s="12"/>
      <c r="G3" s="12" t="s">
        <v>550</v>
      </c>
      <c r="H3" s="12"/>
      <c r="I3" s="12"/>
      <c r="J3" s="12" t="s">
        <v>577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526</v>
      </c>
      <c r="V3" s="12"/>
      <c r="X3" s="12"/>
      <c r="Y3" s="12"/>
      <c r="Z3" s="12"/>
      <c r="AA3" s="12"/>
      <c r="AB3" s="12"/>
    </row>
    <row r="4" spans="1:28" x14ac:dyDescent="0.2">
      <c r="B4" t="s">
        <v>614</v>
      </c>
      <c r="C4" s="13">
        <v>25100</v>
      </c>
      <c r="D4" s="13">
        <v>1500</v>
      </c>
      <c r="E4" s="13">
        <v>2000</v>
      </c>
      <c r="F4" s="12"/>
      <c r="G4" s="12" t="s">
        <v>551</v>
      </c>
      <c r="H4" s="12"/>
      <c r="I4" s="12"/>
      <c r="J4" s="12" t="s">
        <v>573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527</v>
      </c>
      <c r="V4" s="12"/>
      <c r="X4" s="12"/>
      <c r="Y4" s="12"/>
      <c r="Z4" s="12"/>
      <c r="AA4" s="12"/>
      <c r="AB4" s="12"/>
    </row>
    <row r="5" spans="1:28" x14ac:dyDescent="0.2">
      <c r="B5" t="s">
        <v>451</v>
      </c>
      <c r="C5" s="13">
        <v>24540</v>
      </c>
      <c r="D5" s="13">
        <v>1300</v>
      </c>
      <c r="E5" s="13">
        <v>10000</v>
      </c>
      <c r="F5" s="12"/>
      <c r="G5" s="12" t="s">
        <v>552</v>
      </c>
      <c r="H5" s="12"/>
      <c r="I5" s="12"/>
      <c r="J5" s="12" t="s">
        <v>572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528</v>
      </c>
      <c r="V5" s="12"/>
      <c r="X5" s="12"/>
      <c r="Y5" s="12"/>
      <c r="Z5" s="12"/>
      <c r="AA5" s="12"/>
      <c r="AB5" s="12"/>
    </row>
    <row r="6" spans="1:28" x14ac:dyDescent="0.2">
      <c r="B6" t="s">
        <v>492</v>
      </c>
      <c r="C6" s="13">
        <v>6810</v>
      </c>
      <c r="D6" s="13">
        <v>1048</v>
      </c>
      <c r="E6" s="13"/>
      <c r="F6" s="12" t="s">
        <v>587</v>
      </c>
      <c r="G6" s="12" t="s">
        <v>553</v>
      </c>
      <c r="H6" s="12"/>
      <c r="I6" s="12"/>
      <c r="J6" s="12" t="s">
        <v>583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529</v>
      </c>
      <c r="V6" s="12"/>
      <c r="X6" s="12"/>
      <c r="Y6" s="12"/>
      <c r="Z6" s="12"/>
      <c r="AA6" s="12"/>
      <c r="AB6" s="12"/>
    </row>
    <row r="7" spans="1:28" x14ac:dyDescent="0.2">
      <c r="B7" t="s">
        <v>455</v>
      </c>
      <c r="C7" s="13">
        <v>928</v>
      </c>
      <c r="D7" s="13">
        <v>1000</v>
      </c>
      <c r="E7" s="13">
        <v>400</v>
      </c>
      <c r="F7" s="12" t="s">
        <v>589</v>
      </c>
      <c r="G7" s="12" t="s">
        <v>554</v>
      </c>
      <c r="H7" s="12"/>
      <c r="I7" s="12"/>
      <c r="J7" s="12" t="s">
        <v>576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547</v>
      </c>
      <c r="V7" s="12"/>
      <c r="X7" s="12"/>
      <c r="Y7" s="12"/>
      <c r="Z7" s="12"/>
      <c r="AA7" s="12"/>
      <c r="AB7" s="12"/>
    </row>
    <row r="8" spans="1:28" x14ac:dyDescent="0.2">
      <c r="B8" t="s">
        <v>505</v>
      </c>
      <c r="C8" s="13">
        <v>14520</v>
      </c>
      <c r="D8" s="12">
        <v>850</v>
      </c>
      <c r="E8" s="13">
        <v>1200</v>
      </c>
      <c r="F8" s="12"/>
      <c r="G8" s="12"/>
      <c r="H8" s="12"/>
      <c r="I8" s="12"/>
      <c r="J8" s="12" t="s">
        <v>572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X8" s="12"/>
      <c r="Y8" s="12"/>
      <c r="Z8" s="12"/>
      <c r="AA8" s="12"/>
      <c r="AB8" s="12"/>
    </row>
    <row r="9" spans="1:28" x14ac:dyDescent="0.2">
      <c r="B9" t="s">
        <v>417</v>
      </c>
      <c r="C9" s="13">
        <v>50000</v>
      </c>
      <c r="D9" s="12">
        <v>800</v>
      </c>
      <c r="E9" s="13" t="s">
        <v>514</v>
      </c>
      <c r="F9" s="12" t="s">
        <v>589</v>
      </c>
      <c r="G9" s="12" t="s">
        <v>463</v>
      </c>
      <c r="H9" s="12"/>
      <c r="I9" s="12"/>
      <c r="J9" s="12" t="s">
        <v>573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530</v>
      </c>
      <c r="V9" s="12"/>
      <c r="X9" s="12"/>
      <c r="Y9" s="12"/>
      <c r="Z9" s="12"/>
      <c r="AA9" s="12"/>
      <c r="AB9" s="12"/>
    </row>
    <row r="10" spans="1:28" x14ac:dyDescent="0.2">
      <c r="B10" t="s">
        <v>506</v>
      </c>
      <c r="C10" s="13">
        <v>153000</v>
      </c>
      <c r="D10" s="12">
        <v>612</v>
      </c>
      <c r="E10" s="13">
        <v>20000</v>
      </c>
      <c r="F10" s="12"/>
      <c r="G10" s="12"/>
      <c r="H10" s="12"/>
      <c r="I10" s="12"/>
      <c r="J10" s="12" t="s">
        <v>572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X10" s="12"/>
      <c r="Y10" s="12"/>
      <c r="Z10" s="12"/>
      <c r="AA10" s="12"/>
      <c r="AB10" s="12"/>
    </row>
    <row r="11" spans="1:28" x14ac:dyDescent="0.2">
      <c r="A11" t="s">
        <v>491</v>
      </c>
      <c r="B11" t="s">
        <v>507</v>
      </c>
      <c r="C11" s="13">
        <v>9910</v>
      </c>
      <c r="D11" s="12">
        <v>595</v>
      </c>
      <c r="E11" s="13"/>
      <c r="F11" s="12"/>
      <c r="G11" s="12"/>
      <c r="H11" s="12"/>
      <c r="I11" s="12"/>
      <c r="J11" s="12" t="s">
        <v>577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X11" s="12"/>
      <c r="Y11" s="12"/>
      <c r="Z11" s="12"/>
      <c r="AA11" s="12"/>
      <c r="AB11" s="12"/>
    </row>
    <row r="12" spans="1:28" x14ac:dyDescent="0.2">
      <c r="B12" t="s">
        <v>449</v>
      </c>
      <c r="C12" s="13">
        <v>88320</v>
      </c>
      <c r="D12" s="12">
        <v>589</v>
      </c>
      <c r="E12" s="13">
        <v>1500</v>
      </c>
      <c r="F12" s="12" t="s">
        <v>589</v>
      </c>
      <c r="G12" s="12" t="s">
        <v>463</v>
      </c>
      <c r="H12" s="12"/>
      <c r="I12" s="12"/>
      <c r="J12" s="12" t="s">
        <v>573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488</v>
      </c>
      <c r="V12" s="12"/>
      <c r="X12" s="12"/>
      <c r="Y12" s="12"/>
      <c r="Z12" s="12"/>
      <c r="AA12" s="12"/>
      <c r="AB12" s="12"/>
    </row>
    <row r="13" spans="1:28" x14ac:dyDescent="0.2">
      <c r="B13" t="s">
        <v>458</v>
      </c>
      <c r="C13" s="13">
        <v>20000</v>
      </c>
      <c r="D13" s="12">
        <v>480</v>
      </c>
      <c r="E13" s="13">
        <v>3300</v>
      </c>
      <c r="F13" s="12" t="s">
        <v>491</v>
      </c>
      <c r="G13" s="12" t="s">
        <v>558</v>
      </c>
      <c r="H13" s="12"/>
      <c r="I13" s="12"/>
      <c r="J13" s="12" t="s">
        <v>578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538</v>
      </c>
      <c r="V13" s="12"/>
      <c r="X13" s="12"/>
      <c r="Y13" s="12"/>
      <c r="Z13" s="12"/>
      <c r="AA13" s="12"/>
      <c r="AB13" s="12"/>
    </row>
    <row r="14" spans="1:28" x14ac:dyDescent="0.2">
      <c r="A14" t="s">
        <v>491</v>
      </c>
      <c r="B14" t="s">
        <v>493</v>
      </c>
      <c r="C14" s="13">
        <v>11900</v>
      </c>
      <c r="D14" s="12">
        <v>301</v>
      </c>
      <c r="E14" s="13" t="s">
        <v>514</v>
      </c>
      <c r="F14" s="12"/>
      <c r="G14" s="12" t="s">
        <v>556</v>
      </c>
      <c r="H14" s="12"/>
      <c r="I14" s="12"/>
      <c r="J14" s="12" t="s">
        <v>574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535</v>
      </c>
      <c r="V14" s="12"/>
      <c r="X14" s="12"/>
      <c r="Y14" s="12"/>
      <c r="Z14" s="12"/>
      <c r="AA14" s="12"/>
      <c r="AB14" s="12"/>
    </row>
    <row r="15" spans="1:28" x14ac:dyDescent="0.2">
      <c r="B15" t="s">
        <v>512</v>
      </c>
      <c r="C15" s="13">
        <v>19000</v>
      </c>
      <c r="D15" s="12">
        <v>280</v>
      </c>
      <c r="E15" s="13">
        <v>800</v>
      </c>
      <c r="F15" s="12" t="s">
        <v>588</v>
      </c>
      <c r="G15" s="12" t="s">
        <v>555</v>
      </c>
      <c r="H15" s="12"/>
      <c r="I15" s="12"/>
      <c r="J15" s="12" t="s">
        <v>574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 t="s">
        <v>534</v>
      </c>
      <c r="V15" s="12"/>
      <c r="X15" s="12"/>
      <c r="Y15" s="12"/>
      <c r="Z15" s="12"/>
      <c r="AA15" s="12"/>
      <c r="AB15" s="12"/>
    </row>
    <row r="16" spans="1:28" x14ac:dyDescent="0.2">
      <c r="B16" t="s">
        <v>406</v>
      </c>
      <c r="C16" s="13">
        <v>25000</v>
      </c>
      <c r="D16" s="12">
        <v>262</v>
      </c>
      <c r="E16" s="13"/>
      <c r="F16" s="12"/>
      <c r="G16" s="12" t="s">
        <v>559</v>
      </c>
      <c r="H16" s="12"/>
      <c r="I16" s="12"/>
      <c r="J16" s="12" t="s">
        <v>578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539</v>
      </c>
      <c r="V16" s="12"/>
      <c r="X16" s="12"/>
      <c r="Y16" s="12"/>
      <c r="Z16" s="12"/>
      <c r="AA16" s="12"/>
      <c r="AB16" s="12"/>
    </row>
    <row r="17" spans="2:28" x14ac:dyDescent="0.2">
      <c r="B17" t="s">
        <v>495</v>
      </c>
      <c r="C17" s="12" t="s">
        <v>521</v>
      </c>
      <c r="D17" s="12">
        <v>254</v>
      </c>
      <c r="E17" s="13">
        <v>1300</v>
      </c>
      <c r="F17" s="12"/>
      <c r="G17" s="12"/>
      <c r="H17" s="12"/>
      <c r="I17" s="12"/>
      <c r="J17" s="12" t="s">
        <v>576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</row>
    <row r="18" spans="2:28" x14ac:dyDescent="0.2">
      <c r="B18" t="s">
        <v>498</v>
      </c>
      <c r="C18" s="12">
        <v>500</v>
      </c>
      <c r="D18" s="12">
        <v>249</v>
      </c>
      <c r="E18" s="13">
        <v>608</v>
      </c>
      <c r="F18" s="12"/>
      <c r="G18" s="12" t="s">
        <v>569</v>
      </c>
      <c r="H18" s="12"/>
      <c r="I18" s="12"/>
      <c r="J18" s="12" t="s">
        <v>579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</row>
    <row r="19" spans="2:28" x14ac:dyDescent="0.2">
      <c r="B19" t="s">
        <v>504</v>
      </c>
      <c r="C19" s="12" t="s">
        <v>519</v>
      </c>
      <c r="D19" s="12">
        <v>200</v>
      </c>
      <c r="E19" s="13">
        <v>9100</v>
      </c>
      <c r="F19" s="14"/>
      <c r="G19" s="12"/>
      <c r="H19" s="12"/>
      <c r="I19" s="12"/>
      <c r="J19" s="12" t="s">
        <v>581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X19" s="12"/>
      <c r="Y19" s="12"/>
      <c r="Z19" s="12"/>
      <c r="AA19" s="12"/>
      <c r="AB19" s="12"/>
    </row>
    <row r="20" spans="2:28" x14ac:dyDescent="0.2">
      <c r="B20" t="s">
        <v>405</v>
      </c>
      <c r="C20" s="13">
        <v>15000</v>
      </c>
      <c r="D20" s="12">
        <v>125</v>
      </c>
      <c r="E20" s="12"/>
      <c r="F20" s="12"/>
      <c r="G20" s="12" t="s">
        <v>566</v>
      </c>
      <c r="H20" s="12"/>
      <c r="I20" s="12"/>
      <c r="J20" s="12" t="s">
        <v>544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 t="s">
        <v>548</v>
      </c>
      <c r="V20" s="12"/>
      <c r="X20" s="12"/>
      <c r="Y20" s="12"/>
      <c r="Z20" s="12"/>
      <c r="AA20" s="12"/>
      <c r="AB20" s="12"/>
    </row>
    <row r="21" spans="2:28" x14ac:dyDescent="0.2">
      <c r="B21" t="s">
        <v>502</v>
      </c>
      <c r="C21" s="12" t="s">
        <v>519</v>
      </c>
      <c r="D21" s="12">
        <v>101</v>
      </c>
      <c r="E21" s="13">
        <v>7300</v>
      </c>
      <c r="F21" s="12"/>
      <c r="G21" s="12"/>
      <c r="H21" s="12"/>
      <c r="I21" s="12"/>
      <c r="J21" s="12" t="s">
        <v>580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X21" s="12"/>
      <c r="Y21" s="12"/>
      <c r="Z21" s="12"/>
      <c r="AA21" s="12"/>
      <c r="AB21" s="12"/>
    </row>
    <row r="22" spans="2:28" x14ac:dyDescent="0.2">
      <c r="B22" t="s">
        <v>464</v>
      </c>
      <c r="C22" s="13">
        <v>25050</v>
      </c>
      <c r="D22" s="12">
        <v>84</v>
      </c>
      <c r="E22" s="12"/>
      <c r="F22" s="12" t="s">
        <v>587</v>
      </c>
      <c r="G22" s="12" t="s">
        <v>571</v>
      </c>
      <c r="H22" s="12"/>
      <c r="I22" s="12"/>
      <c r="J22" s="12" t="s">
        <v>574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 t="s">
        <v>537</v>
      </c>
      <c r="V22" s="12"/>
      <c r="X22" s="12"/>
      <c r="Y22" s="12"/>
      <c r="Z22" s="12"/>
      <c r="AA22" s="12"/>
      <c r="AB22" s="12"/>
    </row>
    <row r="23" spans="2:28" x14ac:dyDescent="0.2">
      <c r="B23" t="s">
        <v>494</v>
      </c>
      <c r="C23" s="13">
        <v>6120</v>
      </c>
      <c r="D23" s="12">
        <v>60</v>
      </c>
      <c r="E23" s="13" t="s">
        <v>514</v>
      </c>
      <c r="F23" s="12"/>
      <c r="G23" s="12" t="s">
        <v>517</v>
      </c>
      <c r="H23" s="12"/>
      <c r="I23" s="12"/>
      <c r="J23" s="12" t="s">
        <v>574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X23" s="12"/>
      <c r="Y23" s="12"/>
      <c r="Z23" s="12"/>
      <c r="AA23" s="12"/>
      <c r="AB23" s="12"/>
    </row>
    <row r="24" spans="2:28" x14ac:dyDescent="0.2">
      <c r="B24" t="s">
        <v>503</v>
      </c>
      <c r="C24" s="13">
        <v>8000</v>
      </c>
      <c r="D24" s="12">
        <v>55</v>
      </c>
      <c r="E24" s="13">
        <v>1800</v>
      </c>
      <c r="F24" s="12" t="s">
        <v>585</v>
      </c>
      <c r="G24" s="12" t="s">
        <v>570</v>
      </c>
      <c r="H24" s="12"/>
      <c r="I24" s="12"/>
      <c r="J24" s="12" t="s">
        <v>582</v>
      </c>
      <c r="K24" s="12"/>
      <c r="L24" s="12"/>
      <c r="M24" s="12"/>
      <c r="N24" s="12"/>
      <c r="O24" s="12" t="s">
        <v>487</v>
      </c>
      <c r="P24" s="12"/>
      <c r="Q24" s="12"/>
      <c r="R24" s="12"/>
      <c r="S24" s="12"/>
      <c r="T24" s="12"/>
      <c r="U24" s="12" t="s">
        <v>546</v>
      </c>
      <c r="V24" s="12"/>
      <c r="W24" s="17" t="s">
        <v>781</v>
      </c>
      <c r="Y24" s="12"/>
      <c r="Z24" s="12"/>
      <c r="AA24" s="12"/>
      <c r="AB24" s="12"/>
    </row>
    <row r="25" spans="2:28" x14ac:dyDescent="0.2">
      <c r="B25" t="s">
        <v>484</v>
      </c>
      <c r="C25" s="12" t="s">
        <v>521</v>
      </c>
      <c r="D25" s="12">
        <v>50</v>
      </c>
      <c r="E25" s="12">
        <v>242</v>
      </c>
      <c r="F25" s="12" t="s">
        <v>584</v>
      </c>
      <c r="G25" s="12" t="s">
        <v>486</v>
      </c>
      <c r="H25" s="12"/>
      <c r="I25" s="12"/>
      <c r="J25" s="12" t="s">
        <v>576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314</v>
      </c>
      <c r="V25" s="12"/>
      <c r="X25" s="12"/>
      <c r="Y25" s="12"/>
      <c r="Z25" s="12"/>
      <c r="AA25" s="12"/>
      <c r="AB25" s="12"/>
    </row>
    <row r="26" spans="2:28" x14ac:dyDescent="0.2">
      <c r="B26" t="s">
        <v>611</v>
      </c>
      <c r="C26" s="12"/>
      <c r="D26" s="12">
        <v>43</v>
      </c>
      <c r="E26" s="12">
        <v>188</v>
      </c>
      <c r="F26" s="12"/>
      <c r="G26" s="12" t="s">
        <v>509</v>
      </c>
      <c r="H26" s="12"/>
      <c r="I26" s="12"/>
      <c r="J26" s="12" t="s">
        <v>544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612</v>
      </c>
      <c r="V26" s="12"/>
      <c r="X26" s="12"/>
      <c r="Y26" s="12"/>
      <c r="Z26" s="12"/>
      <c r="AA26" s="12"/>
      <c r="AB26" s="12"/>
    </row>
    <row r="27" spans="2:28" x14ac:dyDescent="0.2">
      <c r="B27" t="s">
        <v>496</v>
      </c>
      <c r="C27" s="13">
        <v>36000</v>
      </c>
      <c r="D27" s="12">
        <v>39</v>
      </c>
      <c r="E27" s="13">
        <v>630</v>
      </c>
      <c r="F27" s="12" t="s">
        <v>584</v>
      </c>
      <c r="G27" s="12" t="s">
        <v>561</v>
      </c>
      <c r="H27" s="12"/>
      <c r="I27" s="12"/>
      <c r="J27" s="12" t="s">
        <v>576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s">
        <v>531</v>
      </c>
      <c r="V27" s="12"/>
      <c r="X27" s="12"/>
      <c r="Y27" s="12"/>
      <c r="Z27" s="12"/>
      <c r="AA27" s="12"/>
      <c r="AB27" s="12"/>
    </row>
    <row r="28" spans="2:28" x14ac:dyDescent="0.2">
      <c r="B28" t="s">
        <v>452</v>
      </c>
      <c r="C28" s="13">
        <v>8750</v>
      </c>
      <c r="D28" s="12">
        <v>24</v>
      </c>
      <c r="E28" s="13" t="s">
        <v>514</v>
      </c>
      <c r="F28" s="16"/>
      <c r="G28" s="12" t="s">
        <v>557</v>
      </c>
      <c r="H28" s="12"/>
      <c r="I28" s="12"/>
      <c r="J28" s="12" t="s">
        <v>574</v>
      </c>
      <c r="K28" s="12" t="s">
        <v>489</v>
      </c>
      <c r="L28" s="12"/>
      <c r="M28" s="12"/>
      <c r="N28" s="12"/>
      <c r="O28" s="12"/>
      <c r="P28" s="12"/>
      <c r="Q28" s="12"/>
      <c r="R28" s="12"/>
      <c r="S28" s="12"/>
      <c r="T28" s="12"/>
      <c r="U28" s="12" t="s">
        <v>536</v>
      </c>
      <c r="V28" s="12"/>
      <c r="X28" s="12"/>
      <c r="Y28" s="12"/>
      <c r="Z28" s="12"/>
      <c r="AA28" s="12"/>
      <c r="AB28" s="12"/>
    </row>
    <row r="29" spans="2:28" x14ac:dyDescent="0.2">
      <c r="B29" t="s">
        <v>513</v>
      </c>
      <c r="C29" s="13">
        <v>179000</v>
      </c>
      <c r="D29" s="12">
        <v>20</v>
      </c>
      <c r="E29" s="13">
        <v>9700</v>
      </c>
      <c r="F29" s="12" t="s">
        <v>586</v>
      </c>
      <c r="G29" s="12" t="s">
        <v>560</v>
      </c>
      <c r="H29" s="12"/>
      <c r="I29" s="12"/>
      <c r="J29" s="12" t="s">
        <v>575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 t="s">
        <v>532</v>
      </c>
      <c r="V29" s="19" t="s">
        <v>777</v>
      </c>
      <c r="W29" s="17" t="s">
        <v>780</v>
      </c>
      <c r="X29" s="12"/>
      <c r="Y29" s="12"/>
      <c r="Z29" s="12"/>
      <c r="AA29" s="12"/>
      <c r="AB29" s="12"/>
    </row>
    <row r="30" spans="2:28" x14ac:dyDescent="0.2">
      <c r="B30" t="s">
        <v>450</v>
      </c>
      <c r="C30" s="13">
        <v>63000</v>
      </c>
      <c r="D30" s="12">
        <v>18</v>
      </c>
      <c r="E30" s="13"/>
      <c r="F30" s="12" t="s">
        <v>584</v>
      </c>
      <c r="G30" s="12" t="s">
        <v>562</v>
      </c>
      <c r="H30" s="12" t="s">
        <v>482</v>
      </c>
      <c r="I30" s="12"/>
      <c r="J30" s="12" t="s">
        <v>544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533</v>
      </c>
      <c r="V30" s="12"/>
      <c r="X30" s="12"/>
      <c r="Y30" s="12"/>
      <c r="Z30" s="12"/>
      <c r="AA30" s="12"/>
      <c r="AB30" s="12"/>
    </row>
    <row r="31" spans="2:28" x14ac:dyDescent="0.2">
      <c r="B31" t="s">
        <v>497</v>
      </c>
      <c r="C31" s="13">
        <v>1500</v>
      </c>
      <c r="D31" s="12">
        <v>11</v>
      </c>
      <c r="E31" s="13">
        <v>1300</v>
      </c>
      <c r="F31" s="12" t="s">
        <v>584</v>
      </c>
      <c r="G31" s="12" t="s">
        <v>568</v>
      </c>
      <c r="H31" s="12"/>
      <c r="I31" s="12"/>
      <c r="J31" s="12" t="s">
        <v>579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X31" s="12"/>
      <c r="Y31" s="12"/>
      <c r="Z31" s="12"/>
      <c r="AA31" s="12"/>
      <c r="AB31" s="12"/>
    </row>
    <row r="32" spans="2:28" x14ac:dyDescent="0.2">
      <c r="B32" t="s">
        <v>515</v>
      </c>
      <c r="C32" s="13" t="s">
        <v>520</v>
      </c>
      <c r="D32" s="12">
        <v>10</v>
      </c>
      <c r="E32" s="13">
        <v>174</v>
      </c>
      <c r="F32" s="12"/>
      <c r="G32" s="12"/>
      <c r="H32" s="12"/>
      <c r="I32" s="12"/>
      <c r="J32" s="12" t="s">
        <v>573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X32" s="12"/>
      <c r="Y32" s="12"/>
      <c r="Z32" s="12"/>
      <c r="AA32" s="12"/>
      <c r="AB32" s="12"/>
    </row>
    <row r="33" spans="2:28" x14ac:dyDescent="0.2">
      <c r="B33" t="s">
        <v>522</v>
      </c>
      <c r="C33" s="13">
        <v>8000</v>
      </c>
      <c r="D33" s="12">
        <v>13</v>
      </c>
      <c r="E33" s="13"/>
      <c r="F33" s="12" t="s">
        <v>584</v>
      </c>
      <c r="G33" s="12" t="s">
        <v>567</v>
      </c>
      <c r="H33" s="12" t="s">
        <v>482</v>
      </c>
      <c r="I33" s="12"/>
      <c r="J33" s="12" t="s">
        <v>544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549</v>
      </c>
      <c r="V33" s="12"/>
      <c r="X33" s="12"/>
      <c r="Y33" s="12"/>
      <c r="Z33" s="12"/>
      <c r="AA33" s="12"/>
      <c r="AB33" s="12"/>
    </row>
    <row r="34" spans="2:28" x14ac:dyDescent="0.2">
      <c r="B34" t="s">
        <v>499</v>
      </c>
      <c r="C34" s="12" t="s">
        <v>518</v>
      </c>
      <c r="D34" s="12">
        <v>2.5</v>
      </c>
      <c r="E34" s="13">
        <v>1800</v>
      </c>
      <c r="F34" s="14"/>
      <c r="G34" s="12" t="s">
        <v>563</v>
      </c>
      <c r="H34" s="12"/>
      <c r="I34" s="12"/>
      <c r="J34" s="12" t="s">
        <v>575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540</v>
      </c>
      <c r="V34" s="12"/>
      <c r="X34" s="12"/>
      <c r="Y34" s="12"/>
      <c r="Z34" s="12"/>
      <c r="AA34" s="12"/>
      <c r="AB34" s="12"/>
    </row>
    <row r="35" spans="2:28" x14ac:dyDescent="0.2">
      <c r="B35" t="s">
        <v>453</v>
      </c>
      <c r="C35" s="12" t="s">
        <v>518</v>
      </c>
      <c r="D35" s="12">
        <v>2.2999999999999998</v>
      </c>
      <c r="E35" s="13">
        <v>670</v>
      </c>
      <c r="F35" s="12"/>
      <c r="G35" s="12" t="s">
        <v>564</v>
      </c>
      <c r="H35" s="12"/>
      <c r="I35" s="12"/>
      <c r="J35" s="12" t="s">
        <v>575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541</v>
      </c>
      <c r="V35" s="12"/>
      <c r="X35" s="12"/>
      <c r="Y35" s="12"/>
      <c r="Z35" s="12"/>
      <c r="AA35" s="12"/>
      <c r="AB35" s="12"/>
    </row>
    <row r="36" spans="2:28" x14ac:dyDescent="0.2">
      <c r="B36" t="s">
        <v>454</v>
      </c>
      <c r="C36" s="12" t="s">
        <v>518</v>
      </c>
      <c r="D36" s="15">
        <f>D34*0.85</f>
        <v>2.125</v>
      </c>
      <c r="E36" s="13">
        <f>E34*0.85</f>
        <v>1530</v>
      </c>
      <c r="F36" s="14"/>
      <c r="G36" s="12"/>
      <c r="H36" s="12"/>
      <c r="I36" s="12"/>
      <c r="J36" s="12" t="s">
        <v>575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490</v>
      </c>
      <c r="V36" s="12"/>
      <c r="X36" s="12"/>
      <c r="Y36" s="12"/>
      <c r="Z36" s="12"/>
      <c r="AA36" s="12"/>
      <c r="AB36" s="12"/>
    </row>
    <row r="37" spans="2:28" x14ac:dyDescent="0.2">
      <c r="B37" t="s">
        <v>500</v>
      </c>
      <c r="C37" s="12" t="s">
        <v>518</v>
      </c>
      <c r="D37" s="12">
        <v>1.9</v>
      </c>
      <c r="E37" s="13">
        <v>900</v>
      </c>
      <c r="F37" s="12"/>
      <c r="G37" s="12"/>
      <c r="H37" s="12"/>
      <c r="I37" s="12"/>
      <c r="J37" s="12" t="s">
        <v>575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284</v>
      </c>
      <c r="V37" s="12"/>
      <c r="X37" s="12"/>
      <c r="Y37" s="12"/>
      <c r="Z37" s="12"/>
      <c r="AA37" s="12"/>
      <c r="AB37" s="12"/>
    </row>
    <row r="38" spans="2:28" x14ac:dyDescent="0.2">
      <c r="B38" t="s">
        <v>457</v>
      </c>
      <c r="C38" s="12" t="s">
        <v>518</v>
      </c>
      <c r="D38" s="12">
        <v>1.5</v>
      </c>
      <c r="E38" s="13">
        <v>375</v>
      </c>
      <c r="F38" s="12"/>
      <c r="G38" s="12"/>
      <c r="H38" s="12"/>
      <c r="I38" s="12"/>
      <c r="J38" s="12" t="s">
        <v>575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543</v>
      </c>
      <c r="V38" s="12"/>
      <c r="X38" s="12"/>
      <c r="Y38" s="12"/>
      <c r="Z38" s="12"/>
      <c r="AA38" s="12"/>
      <c r="AB38" s="12"/>
    </row>
    <row r="39" spans="2:28" x14ac:dyDescent="0.2">
      <c r="B39" t="s">
        <v>501</v>
      </c>
      <c r="C39" s="12" t="s">
        <v>518</v>
      </c>
      <c r="D39" s="12">
        <v>0.5</v>
      </c>
      <c r="E39" s="12"/>
      <c r="F39" s="12"/>
      <c r="G39" s="12"/>
      <c r="H39" s="12"/>
      <c r="I39" s="12"/>
      <c r="J39" s="12" t="s">
        <v>575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284</v>
      </c>
      <c r="V39" s="12"/>
      <c r="X39" s="12"/>
      <c r="Y39" s="12"/>
      <c r="Z39" s="12"/>
      <c r="AA39" s="12"/>
      <c r="AB39" s="12"/>
    </row>
    <row r="40" spans="2:28" x14ac:dyDescent="0.2">
      <c r="B40" t="s">
        <v>456</v>
      </c>
      <c r="C40" s="12" t="s">
        <v>518</v>
      </c>
      <c r="D40" s="12">
        <v>0.2</v>
      </c>
      <c r="E40" s="12"/>
      <c r="F40" s="12"/>
      <c r="G40" s="12" t="s">
        <v>565</v>
      </c>
      <c r="H40" s="12"/>
      <c r="I40" s="12"/>
      <c r="J40" s="12" t="s">
        <v>575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542</v>
      </c>
      <c r="V40" s="12"/>
      <c r="X40" s="12"/>
      <c r="Y40" s="12"/>
      <c r="Z40" s="12"/>
      <c r="AA40" s="12"/>
      <c r="AB40" s="12"/>
    </row>
    <row r="41" spans="2:28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X41" s="12"/>
      <c r="Y41" s="12"/>
      <c r="Z41" s="12"/>
      <c r="AA41" s="12"/>
      <c r="AB41" s="12"/>
    </row>
    <row r="42" spans="2:28" x14ac:dyDescent="0.2">
      <c r="B42" t="s">
        <v>698</v>
      </c>
      <c r="C42" s="12" t="s">
        <v>518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X42" s="12"/>
      <c r="Y42" s="12"/>
      <c r="Z42" s="12"/>
      <c r="AA42" s="12"/>
      <c r="AB42" s="12"/>
    </row>
    <row r="43" spans="2:28" x14ac:dyDescent="0.2">
      <c r="B43" t="s">
        <v>699</v>
      </c>
      <c r="C43" s="12" t="s">
        <v>518</v>
      </c>
      <c r="D43" s="12">
        <v>0.35</v>
      </c>
      <c r="E43" s="12">
        <v>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X43" s="12"/>
      <c r="Y43" s="12"/>
      <c r="Z43" s="12"/>
      <c r="AA43" s="12"/>
      <c r="AB43" s="12"/>
    </row>
    <row r="44" spans="2:28" x14ac:dyDescent="0.2">
      <c r="B44" t="s">
        <v>700</v>
      </c>
      <c r="C44" s="12" t="s">
        <v>764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X44" s="12"/>
      <c r="Y44" s="12"/>
      <c r="Z44" s="12"/>
      <c r="AA44" s="12"/>
      <c r="AB44" s="12"/>
    </row>
    <row r="45" spans="2:28" x14ac:dyDescent="0.2">
      <c r="B45" t="s">
        <v>701</v>
      </c>
      <c r="C45" s="12" t="s">
        <v>518</v>
      </c>
      <c r="D45" s="12">
        <v>0.6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X45" s="12"/>
      <c r="Y45" s="12"/>
      <c r="Z45" s="12"/>
      <c r="AA45" s="12"/>
      <c r="AB45" s="12"/>
    </row>
    <row r="46" spans="2:28" x14ac:dyDescent="0.2">
      <c r="B46" t="s">
        <v>702</v>
      </c>
      <c r="C46" s="12" t="s">
        <v>518</v>
      </c>
      <c r="D46" s="12">
        <v>1</v>
      </c>
      <c r="E46" s="12">
        <v>660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X46" s="12"/>
      <c r="Y46" s="12"/>
      <c r="Z46" s="12"/>
      <c r="AA46" s="12"/>
      <c r="AB46" s="12"/>
    </row>
    <row r="47" spans="2:28" x14ac:dyDescent="0.2">
      <c r="B47" t="s">
        <v>703</v>
      </c>
      <c r="C47" s="12"/>
      <c r="D47" s="12">
        <v>0.6</v>
      </c>
      <c r="E47" s="12">
        <v>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X47" s="12"/>
      <c r="Y47" s="12"/>
      <c r="Z47" s="12"/>
      <c r="AA47" s="12"/>
      <c r="AB47" s="12"/>
    </row>
    <row r="48" spans="2:28" x14ac:dyDescent="0.2">
      <c r="B48" t="s">
        <v>704</v>
      </c>
      <c r="C48" s="12" t="s">
        <v>518</v>
      </c>
      <c r="D48" s="12">
        <v>0.5</v>
      </c>
      <c r="E48" s="12">
        <v>500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X48" s="12"/>
      <c r="Y48" s="12"/>
      <c r="Z48" s="12"/>
      <c r="AA48" s="12"/>
      <c r="AB48" s="12"/>
    </row>
    <row r="49" spans="2:28" x14ac:dyDescent="0.2">
      <c r="B49" t="s">
        <v>705</v>
      </c>
      <c r="C49" s="12"/>
      <c r="D49" s="12">
        <v>0.4</v>
      </c>
      <c r="E49" s="12">
        <v>55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X49" s="12"/>
      <c r="Y49" s="12"/>
      <c r="Z49" s="12"/>
      <c r="AA49" s="12"/>
      <c r="AB49" s="12"/>
    </row>
    <row r="50" spans="2:28" x14ac:dyDescent="0.2">
      <c r="B50" t="s">
        <v>706</v>
      </c>
      <c r="C50" s="12" t="s">
        <v>518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X50" s="12"/>
      <c r="Y50" s="12"/>
      <c r="Z50" s="12"/>
      <c r="AA50" s="12"/>
      <c r="AB50" s="12"/>
    </row>
    <row r="51" spans="2:28" x14ac:dyDescent="0.2">
      <c r="B51" t="s">
        <v>707</v>
      </c>
      <c r="C51" s="12" t="s">
        <v>765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X51" s="12"/>
      <c r="Y51" s="12"/>
      <c r="Z51" s="12"/>
      <c r="AA51" s="12"/>
      <c r="AB51" s="12"/>
    </row>
    <row r="52" spans="2:28" x14ac:dyDescent="0.2">
      <c r="B52" t="s">
        <v>708</v>
      </c>
      <c r="C52" s="12"/>
      <c r="D52" s="12">
        <v>400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X52" s="12"/>
      <c r="Y52" s="12"/>
      <c r="Z52" s="12"/>
      <c r="AA52" s="12"/>
      <c r="AB52" s="12"/>
    </row>
    <row r="53" spans="2:28" x14ac:dyDescent="0.2">
      <c r="B53" t="s">
        <v>709</v>
      </c>
      <c r="C53" s="12" t="s">
        <v>766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X53" s="12"/>
      <c r="Y53" s="12"/>
      <c r="Z53" s="12"/>
      <c r="AA53" s="12"/>
      <c r="AB53" s="12"/>
    </row>
    <row r="54" spans="2:28" x14ac:dyDescent="0.2">
      <c r="B54" t="s">
        <v>710</v>
      </c>
      <c r="C54" s="12" t="s">
        <v>518</v>
      </c>
      <c r="D54" s="12"/>
      <c r="E54" s="12">
        <v>760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X54" s="12"/>
      <c r="Y54" s="12"/>
      <c r="Z54" s="12"/>
      <c r="AA54" s="12"/>
      <c r="AB54" s="12"/>
    </row>
    <row r="55" spans="2:28" x14ac:dyDescent="0.2">
      <c r="B55" t="s">
        <v>711</v>
      </c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X55" s="12"/>
      <c r="Y55" s="12"/>
      <c r="Z55" s="12"/>
      <c r="AA55" s="12"/>
      <c r="AB55" s="12"/>
    </row>
    <row r="56" spans="2:28" x14ac:dyDescent="0.2">
      <c r="B56" t="s">
        <v>712</v>
      </c>
      <c r="C56" s="12"/>
      <c r="D56" s="12">
        <v>0.1</v>
      </c>
      <c r="E56" s="12" t="s">
        <v>767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X56" s="12"/>
      <c r="Y56" s="12"/>
      <c r="Z56" s="12"/>
      <c r="AA56" s="12"/>
      <c r="AB56" s="12"/>
    </row>
    <row r="57" spans="2:28" x14ac:dyDescent="0.2">
      <c r="B57" t="s">
        <v>713</v>
      </c>
      <c r="C57" s="12" t="s">
        <v>768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X57" s="12"/>
      <c r="Y57" s="12"/>
      <c r="Z57" s="12"/>
      <c r="AA57" s="12"/>
      <c r="AB57" s="12"/>
    </row>
    <row r="58" spans="2:28" x14ac:dyDescent="0.2">
      <c r="B58" t="s">
        <v>714</v>
      </c>
      <c r="C58" s="12" t="s">
        <v>518</v>
      </c>
      <c r="D58" s="12">
        <v>0.6</v>
      </c>
      <c r="E58" s="12">
        <v>18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X58" s="12"/>
      <c r="Y58" s="12"/>
      <c r="Z58" s="12"/>
      <c r="AA58" s="12"/>
      <c r="AB58" s="12"/>
    </row>
    <row r="59" spans="2:28" x14ac:dyDescent="0.2">
      <c r="B59" t="s">
        <v>715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X59" s="12"/>
      <c r="Y59" s="12"/>
      <c r="Z59" s="12"/>
      <c r="AA59" s="12"/>
      <c r="AB59" s="12"/>
    </row>
    <row r="60" spans="2:28" x14ac:dyDescent="0.2">
      <c r="B60" t="s">
        <v>716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X60" s="12"/>
      <c r="Y60" s="12"/>
      <c r="Z60" s="12"/>
      <c r="AA60" s="12"/>
      <c r="AB60" s="12"/>
    </row>
    <row r="61" spans="2:28" x14ac:dyDescent="0.2">
      <c r="B61" t="s">
        <v>717</v>
      </c>
      <c r="C61" s="12"/>
      <c r="D61" s="12">
        <v>200</v>
      </c>
      <c r="E61" s="12"/>
      <c r="F61" s="12"/>
      <c r="G61" s="12"/>
      <c r="H61" s="12"/>
      <c r="I61" s="12"/>
      <c r="J61" s="12"/>
      <c r="K61" s="12" t="s">
        <v>769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X61" s="12"/>
      <c r="Y61" s="12"/>
      <c r="Z61" s="12"/>
      <c r="AA61" s="12"/>
      <c r="AB61" s="12"/>
    </row>
    <row r="62" spans="2:28" x14ac:dyDescent="0.2">
      <c r="B62" t="s">
        <v>718</v>
      </c>
      <c r="C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X62" s="12"/>
      <c r="Y62" s="12"/>
      <c r="Z62" s="12"/>
      <c r="AA62" s="12"/>
      <c r="AB62" s="12"/>
    </row>
    <row r="63" spans="2:28" x14ac:dyDescent="0.2">
      <c r="B63" t="s">
        <v>719</v>
      </c>
      <c r="C63" s="12"/>
      <c r="D63" s="12">
        <v>0.04</v>
      </c>
      <c r="E63" s="12">
        <v>1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2"/>
      <c r="Y63" s="12"/>
      <c r="Z63" s="12"/>
      <c r="AA63" s="12"/>
      <c r="AB63" s="12"/>
    </row>
    <row r="64" spans="2:28" x14ac:dyDescent="0.2">
      <c r="B64" t="s">
        <v>720</v>
      </c>
      <c r="C64" s="12" t="s">
        <v>518</v>
      </c>
      <c r="D64" s="12">
        <v>0.08</v>
      </c>
      <c r="E64" s="12">
        <v>15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X64" s="12"/>
      <c r="Y64" s="12"/>
      <c r="Z64" s="12"/>
      <c r="AA64" s="12"/>
      <c r="AB64" s="12"/>
    </row>
    <row r="65" spans="2:28" x14ac:dyDescent="0.2">
      <c r="B65" t="s">
        <v>721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X65" s="12"/>
      <c r="Y65" s="12"/>
      <c r="Z65" s="12"/>
      <c r="AA65" s="12"/>
      <c r="AB65" s="12"/>
    </row>
    <row r="66" spans="2:28" x14ac:dyDescent="0.2">
      <c r="B66" t="s">
        <v>722</v>
      </c>
      <c r="C66" s="12"/>
      <c r="D66" s="12" t="s">
        <v>491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2"/>
    </row>
    <row r="67" spans="2:28" x14ac:dyDescent="0.2">
      <c r="B67" t="s">
        <v>723</v>
      </c>
      <c r="C67" s="12"/>
      <c r="D67" s="12">
        <v>0.04</v>
      </c>
      <c r="E67" s="12">
        <v>11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X67" s="12"/>
      <c r="Y67" s="12"/>
      <c r="Z67" s="12"/>
      <c r="AA67" s="12"/>
      <c r="AB67" s="12"/>
    </row>
    <row r="68" spans="2:28" x14ac:dyDescent="0.2">
      <c r="B68" t="s">
        <v>724</v>
      </c>
      <c r="C68" s="12"/>
      <c r="D68" s="12">
        <v>1.8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X68" s="12"/>
      <c r="Y68" s="12"/>
      <c r="Z68" s="12"/>
      <c r="AA68" s="12"/>
      <c r="AB68" s="12"/>
    </row>
    <row r="69" spans="2:28" x14ac:dyDescent="0.2">
      <c r="B69" t="s">
        <v>725</v>
      </c>
      <c r="C69" s="12" t="s">
        <v>764</v>
      </c>
      <c r="D69" s="12">
        <v>7.0000000000000007E-2</v>
      </c>
      <c r="E69" s="12" t="s">
        <v>767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X69" s="12"/>
      <c r="Y69" s="12"/>
      <c r="Z69" s="12"/>
      <c r="AA69" s="12"/>
      <c r="AB69" s="12"/>
    </row>
    <row r="70" spans="2:28" x14ac:dyDescent="0.2">
      <c r="B70" t="s">
        <v>726</v>
      </c>
      <c r="C70" s="12" t="s">
        <v>764</v>
      </c>
      <c r="D70" s="12">
        <v>0.05</v>
      </c>
      <c r="E70" s="12">
        <v>24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X70" s="12"/>
      <c r="Y70" s="12"/>
      <c r="Z70" s="12"/>
      <c r="AA70" s="12"/>
      <c r="AB70" s="12"/>
    </row>
    <row r="71" spans="2:28" x14ac:dyDescent="0.2">
      <c r="B71" t="s">
        <v>727</v>
      </c>
      <c r="C71" s="12" t="s">
        <v>766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X71" s="12"/>
      <c r="Y71" s="12"/>
      <c r="Z71" s="12"/>
      <c r="AA71" s="12"/>
      <c r="AB71" s="12"/>
    </row>
    <row r="72" spans="2:28" x14ac:dyDescent="0.2">
      <c r="B72" t="s">
        <v>728</v>
      </c>
      <c r="C72" s="12"/>
      <c r="D72" s="12">
        <v>65</v>
      </c>
      <c r="E72" s="12" t="s">
        <v>770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X72" s="12"/>
      <c r="Y72" s="12"/>
      <c r="Z72" s="12"/>
      <c r="AA72" s="12"/>
      <c r="AB72" s="12"/>
    </row>
    <row r="73" spans="2:28" x14ac:dyDescent="0.2">
      <c r="B73" t="s">
        <v>729</v>
      </c>
      <c r="C73" s="12"/>
      <c r="D73" s="12">
        <v>35</v>
      </c>
      <c r="E73" s="12" t="s">
        <v>767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X73" s="12"/>
      <c r="Y73" s="12"/>
      <c r="Z73" s="12"/>
      <c r="AA73" s="12"/>
      <c r="AB73" s="12"/>
    </row>
    <row r="74" spans="2:28" x14ac:dyDescent="0.2">
      <c r="B74" t="s">
        <v>730</v>
      </c>
      <c r="C74" s="12"/>
      <c r="D74" s="12">
        <v>1.5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X74" s="12"/>
      <c r="Y74" s="12"/>
      <c r="Z74" s="12"/>
      <c r="AA74" s="12"/>
      <c r="AB74" s="12"/>
    </row>
    <row r="75" spans="2:28" x14ac:dyDescent="0.2">
      <c r="B75" t="s">
        <v>731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X75" s="12"/>
      <c r="Y75" s="12"/>
      <c r="Z75" s="12"/>
      <c r="AA75" s="12"/>
      <c r="AB75" s="12"/>
    </row>
    <row r="76" spans="2:28" x14ac:dyDescent="0.2">
      <c r="B76" t="s">
        <v>732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X76" s="12"/>
      <c r="Y76" s="12"/>
      <c r="Z76" s="12"/>
      <c r="AA76" s="12"/>
      <c r="AB76" s="12"/>
    </row>
    <row r="77" spans="2:28" x14ac:dyDescent="0.2">
      <c r="B77" t="s">
        <v>771</v>
      </c>
      <c r="C77" s="12" t="s">
        <v>518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X77" s="12"/>
      <c r="Y77" s="12"/>
      <c r="Z77" s="12"/>
      <c r="AA77" s="12"/>
      <c r="AB77" s="12"/>
    </row>
    <row r="78" spans="2:28" x14ac:dyDescent="0.2">
      <c r="B78" t="s">
        <v>733</v>
      </c>
      <c r="C78" s="12"/>
      <c r="D78" s="12">
        <v>0.3</v>
      </c>
      <c r="E78" s="12" t="s">
        <v>770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X78" s="12"/>
      <c r="Y78" s="12"/>
      <c r="Z78" s="12"/>
      <c r="AA78" s="12"/>
      <c r="AB78" s="12"/>
    </row>
    <row r="79" spans="2:28" x14ac:dyDescent="0.2">
      <c r="B79" t="s">
        <v>734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X79" s="12"/>
      <c r="Y79" s="12"/>
      <c r="Z79" s="12"/>
      <c r="AA79" s="12"/>
      <c r="AB79" s="12"/>
    </row>
    <row r="80" spans="2:28" x14ac:dyDescent="0.2">
      <c r="B80" t="s">
        <v>735</v>
      </c>
      <c r="C80" s="12" t="s">
        <v>518</v>
      </c>
      <c r="D80" s="12">
        <v>0.7</v>
      </c>
      <c r="E80" s="12">
        <v>350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X80" s="12"/>
      <c r="Y80" s="12"/>
      <c r="Z80" s="12"/>
      <c r="AA80" s="12"/>
      <c r="AB80" s="12"/>
    </row>
    <row r="81" spans="2:28" x14ac:dyDescent="0.2">
      <c r="B81" t="s">
        <v>736</v>
      </c>
      <c r="C81" s="12" t="s">
        <v>518</v>
      </c>
      <c r="D81" s="12">
        <v>0.03</v>
      </c>
      <c r="E81" s="12">
        <v>18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X81" s="12"/>
      <c r="Y81" s="12"/>
      <c r="Z81" s="12"/>
      <c r="AA81" s="12"/>
      <c r="AB81" s="12"/>
    </row>
    <row r="82" spans="2:28" x14ac:dyDescent="0.2">
      <c r="B82" t="s">
        <v>737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X82" s="12"/>
      <c r="Y82" s="12"/>
      <c r="Z82" s="12"/>
      <c r="AA82" s="12"/>
      <c r="AB82" s="12"/>
    </row>
    <row r="83" spans="2:28" x14ac:dyDescent="0.2">
      <c r="B83" t="s">
        <v>738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X83" s="12"/>
      <c r="Y83" s="12"/>
      <c r="Z83" s="12"/>
      <c r="AA83" s="12"/>
      <c r="AB83" s="12"/>
    </row>
    <row r="84" spans="2:28" x14ac:dyDescent="0.2">
      <c r="B84" t="s">
        <v>739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X84" s="12"/>
      <c r="Y84" s="12"/>
      <c r="Z84" s="12"/>
      <c r="AA84" s="12"/>
      <c r="AB84" s="12"/>
    </row>
    <row r="85" spans="2:28" x14ac:dyDescent="0.2">
      <c r="B85" t="s">
        <v>740</v>
      </c>
      <c r="C85" s="12"/>
      <c r="D85" s="12">
        <v>300</v>
      </c>
      <c r="E85" s="13">
        <v>3200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X85" s="12"/>
      <c r="Y85" s="12"/>
      <c r="Z85" s="12"/>
      <c r="AA85" s="12"/>
      <c r="AB85" s="12"/>
    </row>
    <row r="86" spans="2:28" x14ac:dyDescent="0.2">
      <c r="B86" t="s">
        <v>741</v>
      </c>
      <c r="C86" s="12" t="s">
        <v>772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X86" s="12"/>
      <c r="Y86" s="12"/>
      <c r="Z86" s="12"/>
      <c r="AA86" s="12"/>
      <c r="AB86" s="12"/>
    </row>
    <row r="87" spans="2:28" x14ac:dyDescent="0.2">
      <c r="B87" t="s">
        <v>742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X87" s="12"/>
      <c r="Y87" s="12"/>
      <c r="Z87" s="12"/>
      <c r="AA87" s="12"/>
      <c r="AB87" s="12"/>
    </row>
    <row r="88" spans="2:28" x14ac:dyDescent="0.2">
      <c r="B88" t="s">
        <v>743</v>
      </c>
      <c r="C88" s="12" t="s">
        <v>518</v>
      </c>
      <c r="D88" s="12">
        <v>7.0000000000000007E-2</v>
      </c>
      <c r="E88" s="12">
        <v>14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X88" s="12"/>
      <c r="Y88" s="12"/>
      <c r="Z88" s="12"/>
      <c r="AA88" s="12"/>
      <c r="AB88" s="12"/>
    </row>
    <row r="89" spans="2:28" x14ac:dyDescent="0.2">
      <c r="B89" t="s">
        <v>744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X89" s="12"/>
      <c r="Y89" s="12"/>
      <c r="Z89" s="12"/>
      <c r="AA89" s="12"/>
      <c r="AB89" s="12"/>
    </row>
    <row r="90" spans="2:28" x14ac:dyDescent="0.2">
      <c r="B90" t="s">
        <v>745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X90" s="12"/>
      <c r="Y90" s="12"/>
      <c r="Z90" s="12"/>
      <c r="AA90" s="12"/>
      <c r="AB90" s="12"/>
    </row>
    <row r="91" spans="2:28" x14ac:dyDescent="0.2">
      <c r="B91" t="s">
        <v>746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X91" s="12"/>
      <c r="Y91" s="12"/>
      <c r="Z91" s="12"/>
      <c r="AA91" s="12"/>
      <c r="AB91" s="12"/>
    </row>
    <row r="92" spans="2:28" x14ac:dyDescent="0.2">
      <c r="B92" t="s">
        <v>747</v>
      </c>
      <c r="C92" s="12" t="s">
        <v>518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X92" s="12"/>
      <c r="Y92" s="12"/>
      <c r="Z92" s="12"/>
      <c r="AA92" s="12"/>
      <c r="AB92" s="12"/>
    </row>
    <row r="93" spans="2:28" x14ac:dyDescent="0.2">
      <c r="B93" t="s">
        <v>748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X93" s="12"/>
      <c r="Y93" s="12"/>
      <c r="Z93" s="12"/>
      <c r="AA93" s="12"/>
      <c r="AB93" s="12"/>
    </row>
    <row r="94" spans="2:28" x14ac:dyDescent="0.2">
      <c r="B94" t="s">
        <v>749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X94" s="12"/>
      <c r="Y94" s="12"/>
      <c r="Z94" s="12"/>
      <c r="AA94" s="12"/>
      <c r="AB94" s="12"/>
    </row>
    <row r="95" spans="2:28" x14ac:dyDescent="0.2">
      <c r="B95" t="s">
        <v>750</v>
      </c>
      <c r="C95" s="12" t="s">
        <v>768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X95" s="12"/>
      <c r="Y95" s="12"/>
      <c r="Z95" s="12"/>
      <c r="AA95" s="12"/>
      <c r="AB95" s="12"/>
    </row>
    <row r="96" spans="2:28" x14ac:dyDescent="0.2">
      <c r="B96" t="s">
        <v>751</v>
      </c>
      <c r="C96" s="12"/>
      <c r="D96" s="12">
        <v>0.14000000000000001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X96" s="12"/>
      <c r="Y96" s="12"/>
      <c r="Z96" s="12"/>
      <c r="AA96" s="12"/>
      <c r="AB96" s="12"/>
    </row>
    <row r="97" spans="2:28" x14ac:dyDescent="0.2">
      <c r="B97" t="s">
        <v>752</v>
      </c>
      <c r="C97" s="12"/>
      <c r="D97" s="12">
        <v>0.35</v>
      </c>
      <c r="E97" s="12" t="s">
        <v>773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X97" s="12"/>
      <c r="Y97" s="12"/>
      <c r="Z97" s="12"/>
      <c r="AA97" s="12"/>
      <c r="AB97" s="12"/>
    </row>
    <row r="98" spans="2:28" x14ac:dyDescent="0.2">
      <c r="B98" t="s">
        <v>753</v>
      </c>
      <c r="C98" s="12"/>
      <c r="D98" s="12"/>
      <c r="E98" s="12" t="s">
        <v>774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X98" s="12"/>
      <c r="Y98" s="12"/>
      <c r="Z98" s="12"/>
      <c r="AA98" s="12"/>
      <c r="AB98" s="12"/>
    </row>
    <row r="99" spans="2:28" x14ac:dyDescent="0.2">
      <c r="B99" t="s">
        <v>754</v>
      </c>
      <c r="C99" s="12"/>
      <c r="D99" s="12">
        <v>3.6</v>
      </c>
      <c r="E99" s="12">
        <v>102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X99" s="12"/>
      <c r="Y99" s="12"/>
      <c r="Z99" s="12"/>
      <c r="AA99" s="12"/>
      <c r="AB99" s="12"/>
    </row>
    <row r="100" spans="2:28" x14ac:dyDescent="0.2">
      <c r="B100" t="s">
        <v>755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X100" s="12"/>
      <c r="Y100" s="12"/>
      <c r="Z100" s="12"/>
      <c r="AA100" s="12"/>
      <c r="AB100" s="12"/>
    </row>
    <row r="101" spans="2:28" x14ac:dyDescent="0.2">
      <c r="B101" t="s">
        <v>414</v>
      </c>
      <c r="C101" s="12"/>
      <c r="D101" s="13">
        <v>1260</v>
      </c>
      <c r="E101" s="12">
        <v>438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X101" s="12"/>
      <c r="Y101" s="12"/>
      <c r="Z101" s="12"/>
      <c r="AA101" s="12"/>
      <c r="AB101" s="12"/>
    </row>
    <row r="102" spans="2:28" x14ac:dyDescent="0.2">
      <c r="B102" t="s">
        <v>756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X102" s="12"/>
      <c r="Y102" s="12"/>
      <c r="Z102" s="12"/>
      <c r="AA102" s="12"/>
      <c r="AB102" s="12"/>
    </row>
    <row r="103" spans="2:28" x14ac:dyDescent="0.2">
      <c r="B103" t="s">
        <v>757</v>
      </c>
      <c r="C103" s="12" t="s">
        <v>768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X103" s="12"/>
      <c r="Y103" s="12"/>
      <c r="Z103" s="12"/>
      <c r="AA103" s="12"/>
      <c r="AB103" s="12"/>
    </row>
    <row r="104" spans="2:28" x14ac:dyDescent="0.2">
      <c r="B104" t="s">
        <v>758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X104" s="12"/>
      <c r="Y104" s="12"/>
      <c r="Z104" s="12"/>
      <c r="AA104" s="12"/>
      <c r="AB104" s="12"/>
    </row>
    <row r="105" spans="2:28" x14ac:dyDescent="0.2">
      <c r="B105" t="s">
        <v>759</v>
      </c>
      <c r="C105" s="12"/>
      <c r="D105" s="12"/>
      <c r="E105" s="12"/>
      <c r="F105" s="12"/>
      <c r="G105" s="12"/>
      <c r="H105" s="12"/>
      <c r="I105" s="12"/>
      <c r="J105" s="12" t="s">
        <v>544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X105" s="12"/>
      <c r="Y105" s="12"/>
      <c r="Z105" s="12"/>
      <c r="AA105" s="12"/>
      <c r="AB105" s="12"/>
    </row>
    <row r="106" spans="2:28" x14ac:dyDescent="0.2">
      <c r="B106" t="s">
        <v>760</v>
      </c>
      <c r="C106" s="12"/>
      <c r="D106" s="12">
        <v>0.35</v>
      </c>
      <c r="E106" s="12" t="s">
        <v>775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X106" s="12"/>
      <c r="Y106" s="12"/>
      <c r="Z106" s="12"/>
      <c r="AA106" s="12"/>
      <c r="AB106" s="12"/>
    </row>
    <row r="107" spans="2:28" x14ac:dyDescent="0.2">
      <c r="B107" t="s">
        <v>761</v>
      </c>
      <c r="C107" s="12"/>
      <c r="D107" s="12"/>
      <c r="E107" s="12"/>
      <c r="F107" s="12"/>
      <c r="G107" s="12"/>
      <c r="H107" s="12"/>
      <c r="I107" s="12"/>
      <c r="J107" s="12" t="s">
        <v>544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X107" s="12"/>
      <c r="Y107" s="12"/>
      <c r="Z107" s="12"/>
      <c r="AA107" s="12"/>
      <c r="AB107" s="12"/>
    </row>
    <row r="108" spans="2:28" x14ac:dyDescent="0.2">
      <c r="B108" t="s">
        <v>762</v>
      </c>
      <c r="C108" s="12"/>
      <c r="D108" s="12">
        <v>7.0000000000000007E-2</v>
      </c>
      <c r="E108" s="12" t="s">
        <v>767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X108" s="12"/>
      <c r="Y108" s="12"/>
      <c r="Z108" s="12"/>
      <c r="AA108" s="12"/>
      <c r="AB108" s="12"/>
    </row>
    <row r="109" spans="2:28" x14ac:dyDescent="0.2">
      <c r="B109" t="s">
        <v>507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X109" s="12"/>
      <c r="Y109" s="12"/>
      <c r="Z109" s="12"/>
      <c r="AA109" s="12"/>
      <c r="AB109" s="12"/>
    </row>
    <row r="110" spans="2:28" x14ac:dyDescent="0.2">
      <c r="B110" t="s">
        <v>763</v>
      </c>
      <c r="C110" s="12"/>
      <c r="D110" s="12"/>
      <c r="E110" s="12" t="s">
        <v>770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X110" s="12"/>
      <c r="Y110" s="12"/>
      <c r="Z110" s="12"/>
      <c r="AA110" s="12"/>
      <c r="AB110" s="12"/>
    </row>
    <row r="111" spans="2:28" x14ac:dyDescent="0.2">
      <c r="C111" s="12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X111" s="12"/>
      <c r="Y111" s="12"/>
      <c r="Z111" s="12"/>
      <c r="AA111" s="12"/>
      <c r="AB111" s="12"/>
    </row>
    <row r="112" spans="2:28" x14ac:dyDescent="0.2">
      <c r="B112" t="s">
        <v>516</v>
      </c>
      <c r="C112" s="13">
        <f>SUM(C3:C40)</f>
        <v>883948</v>
      </c>
      <c r="D112" s="13">
        <f>SUM(D33,D27:D31,D22:D24,D20,D18,D3:D16)</f>
        <v>12015</v>
      </c>
      <c r="E112" s="13">
        <f>SUM(E3:E33)</f>
        <v>71542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X112" s="12"/>
      <c r="Y112" s="12"/>
      <c r="Z112" s="12"/>
      <c r="AA112" s="12"/>
      <c r="AB112" s="12"/>
    </row>
    <row r="113" spans="1:106" x14ac:dyDescent="0.2">
      <c r="C113" s="2"/>
      <c r="D113" s="2"/>
      <c r="E113" s="2"/>
    </row>
    <row r="114" spans="1:106" x14ac:dyDescent="0.2">
      <c r="C114" s="13"/>
      <c r="D114" s="13"/>
      <c r="E114" s="13" t="s">
        <v>510</v>
      </c>
      <c r="F114" s="12" t="s">
        <v>595</v>
      </c>
      <c r="G114" s="12" t="s">
        <v>594</v>
      </c>
      <c r="H114" s="13" t="s">
        <v>596</v>
      </c>
    </row>
    <row r="115" spans="1:106" x14ac:dyDescent="0.2">
      <c r="B115" t="s">
        <v>590</v>
      </c>
      <c r="C115" s="13">
        <f>SUM(C29)</f>
        <v>179000</v>
      </c>
      <c r="D115" s="13">
        <f>SUM(D29)</f>
        <v>20</v>
      </c>
      <c r="E115" s="13">
        <f>SUM(E29)/1000</f>
        <v>9.6999999999999993</v>
      </c>
      <c r="F115" s="14">
        <f>E115/D115</f>
        <v>0.48499999999999999</v>
      </c>
      <c r="G115" s="13">
        <f t="shared" ref="G115:G121" si="0">C115/D115</f>
        <v>8950</v>
      </c>
      <c r="H115" s="14">
        <f>C115/$C$112</f>
        <v>0.20250059958278088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2">
      <c r="B116" t="s">
        <v>591</v>
      </c>
      <c r="C116" s="13">
        <f>SUM(C31,C27,C25,C17,C18,C7)</f>
        <v>38928</v>
      </c>
      <c r="D116" s="13">
        <f>SUM(D31,D27,D25,D17,D18,D7)</f>
        <v>1603</v>
      </c>
      <c r="E116" s="13">
        <f>SUM(E31,E27,E25,E17,E18,E7)/1000</f>
        <v>4.4800000000000004</v>
      </c>
      <c r="F116" s="14">
        <f t="shared" ref="F116:F121" si="1">E116/D116</f>
        <v>2.7947598253275112E-3</v>
      </c>
      <c r="G116" s="13">
        <f t="shared" si="0"/>
        <v>24.284466625077979</v>
      </c>
      <c r="H116" s="14">
        <f t="shared" ref="H116:H121" si="2">C116/$C$112</f>
        <v>4.4038789612058628E-2</v>
      </c>
      <c r="I116" s="2"/>
    </row>
    <row r="117" spans="1:106" x14ac:dyDescent="0.2">
      <c r="B117" t="s">
        <v>593</v>
      </c>
      <c r="C117" s="13">
        <f>SUM(C32,C12,C9,C4)</f>
        <v>163420</v>
      </c>
      <c r="D117" s="13">
        <f>SUM(D32,D12,D9,D4)</f>
        <v>2899</v>
      </c>
      <c r="E117" s="13">
        <f>SUM(E32,E28,E27,E18,E19,E8)/1000</f>
        <v>11.712</v>
      </c>
      <c r="F117" s="14">
        <f t="shared" si="1"/>
        <v>4.0400137978613311E-3</v>
      </c>
      <c r="G117" s="13">
        <f t="shared" si="0"/>
        <v>56.371162469817179</v>
      </c>
      <c r="H117" s="14">
        <f t="shared" si="2"/>
        <v>0.18487512840121817</v>
      </c>
      <c r="I117" s="2"/>
    </row>
    <row r="118" spans="1:106" x14ac:dyDescent="0.2">
      <c r="B118" t="s">
        <v>545</v>
      </c>
      <c r="C118" s="13">
        <f>SUM(C28,C24,C23,C22,C15,C14,C1)</f>
        <v>78820</v>
      </c>
      <c r="D118" s="13">
        <f>SUM(D28,D24,D23,D22,D15,D14,D1)</f>
        <v>804</v>
      </c>
      <c r="E118" s="13">
        <f>SUM(E33,E29,E28,E19,E20,E9)/1000</f>
        <v>18.8</v>
      </c>
      <c r="F118" s="14">
        <f t="shared" si="1"/>
        <v>2.3383084577114428E-2</v>
      </c>
      <c r="G118" s="13">
        <f t="shared" si="0"/>
        <v>98.03482587064677</v>
      </c>
      <c r="H118" s="14">
        <f t="shared" si="2"/>
        <v>8.9168141112373131E-2</v>
      </c>
      <c r="I118" s="2"/>
    </row>
    <row r="119" spans="1:106" x14ac:dyDescent="0.2">
      <c r="B119" t="s">
        <v>544</v>
      </c>
      <c r="C119" s="13">
        <f>SUM(C33,C30,C20,C13,C16)</f>
        <v>131000</v>
      </c>
      <c r="D119" s="13">
        <f>SUM(D33,D30,D20,D13,D16)</f>
        <v>898</v>
      </c>
      <c r="E119" s="13">
        <f>SUM(E34,E30,E29,E20,E21,E10)/1000</f>
        <v>38.799999999999997</v>
      </c>
      <c r="F119" s="14">
        <f t="shared" si="1"/>
        <v>4.320712694877505E-2</v>
      </c>
      <c r="G119" s="13">
        <f t="shared" si="0"/>
        <v>145.87973273942094</v>
      </c>
      <c r="H119" s="14">
        <f t="shared" si="2"/>
        <v>0.1481987628231525</v>
      </c>
      <c r="I119" s="2"/>
    </row>
    <row r="120" spans="1:106" x14ac:dyDescent="0.2">
      <c r="B120" t="s">
        <v>592</v>
      </c>
      <c r="C120" s="13">
        <f>SUM(C3,C6,C11)</f>
        <v>100720</v>
      </c>
      <c r="D120" s="13">
        <f>SUM(D3,D6,D11)</f>
        <v>3343</v>
      </c>
      <c r="E120" s="13">
        <f>SUM(E35,E31,E30,E21,E22,E11)/1000</f>
        <v>9.27</v>
      </c>
      <c r="F120" s="14">
        <f t="shared" si="1"/>
        <v>2.7729584205803169E-3</v>
      </c>
      <c r="G120" s="13">
        <f t="shared" si="0"/>
        <v>30.128626981752916</v>
      </c>
      <c r="H120" s="14">
        <f t="shared" si="2"/>
        <v>0.11394335413395358</v>
      </c>
    </row>
    <row r="121" spans="1:106" x14ac:dyDescent="0.2">
      <c r="A121" t="s">
        <v>491</v>
      </c>
      <c r="B121" t="s">
        <v>525</v>
      </c>
      <c r="C121" s="13">
        <f>SUM(C5,C8,C10,C19)</f>
        <v>192060</v>
      </c>
      <c r="D121" s="13">
        <f>SUM(D5,D8,D10,D19)</f>
        <v>2962</v>
      </c>
      <c r="E121" s="13">
        <f>SUM(E36,E32,E31,E22,E23,E12)/1000</f>
        <v>4.5039999999999996</v>
      </c>
      <c r="F121" s="14">
        <f t="shared" si="1"/>
        <v>1.5205941931127616E-3</v>
      </c>
      <c r="G121" s="13">
        <f t="shared" si="0"/>
        <v>64.841323430114784</v>
      </c>
      <c r="H121" s="14">
        <f t="shared" si="2"/>
        <v>0.21727522433446311</v>
      </c>
    </row>
    <row r="122" spans="1:106" x14ac:dyDescent="0.2">
      <c r="C122" s="2"/>
      <c r="D122" s="2"/>
      <c r="E122" s="2"/>
      <c r="F122" s="3"/>
      <c r="G122" s="2"/>
      <c r="H122" s="3"/>
    </row>
    <row r="123" spans="1:106" x14ac:dyDescent="0.2">
      <c r="B123" t="s">
        <v>454</v>
      </c>
      <c r="C123" s="2">
        <f>D123*G123</f>
        <v>27901.25</v>
      </c>
      <c r="D123" s="10">
        <f>D36</f>
        <v>2.125</v>
      </c>
      <c r="E123" s="10">
        <f>E36/1000</f>
        <v>1.53</v>
      </c>
      <c r="F123" s="3">
        <f>E123/D123</f>
        <v>0.72</v>
      </c>
      <c r="G123" s="2">
        <v>13130</v>
      </c>
    </row>
    <row r="124" spans="1:106" x14ac:dyDescent="0.2">
      <c r="C124" s="6"/>
      <c r="E124" s="6"/>
      <c r="G124" t="s">
        <v>598</v>
      </c>
    </row>
    <row r="125" spans="1:106" x14ac:dyDescent="0.2">
      <c r="G125" t="s">
        <v>599</v>
      </c>
    </row>
    <row r="126" spans="1:106" x14ac:dyDescent="0.2">
      <c r="G126" t="s">
        <v>820</v>
      </c>
    </row>
    <row r="127" spans="1:106" x14ac:dyDescent="0.2">
      <c r="G127" s="11" t="s">
        <v>600</v>
      </c>
    </row>
    <row r="129" spans="7:7" x14ac:dyDescent="0.2">
      <c r="G129" s="4" t="s">
        <v>821</v>
      </c>
    </row>
    <row r="130" spans="7:7" x14ac:dyDescent="0.2">
      <c r="G130" s="3"/>
    </row>
  </sheetData>
  <hyperlinks>
    <hyperlink ref="A1" location="Main!A1" display="Main" xr:uid="{B1C32F4A-26DB-4731-A542-EEE3F60BB487}"/>
    <hyperlink ref="V29" r:id="rId1" xr:uid="{E2DDDA48-5324-4A9C-AA98-A54A0D821563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5703125" bestFit="1" customWidth="1"/>
  </cols>
  <sheetData>
    <row r="1" spans="1:8" x14ac:dyDescent="0.2">
      <c r="A1" s="1" t="s">
        <v>16</v>
      </c>
    </row>
    <row r="2" spans="1:8" x14ac:dyDescent="0.2">
      <c r="B2" t="s">
        <v>0</v>
      </c>
      <c r="C2" t="s">
        <v>421</v>
      </c>
      <c r="D2" t="s">
        <v>422</v>
      </c>
      <c r="E2" t="s">
        <v>423</v>
      </c>
      <c r="F2" t="s">
        <v>424</v>
      </c>
      <c r="G2" t="s">
        <v>13</v>
      </c>
      <c r="H2" t="s">
        <v>425</v>
      </c>
    </row>
    <row r="3" spans="1:8" x14ac:dyDescent="0.2">
      <c r="B3" t="s">
        <v>280</v>
      </c>
      <c r="C3" s="2">
        <v>14000</v>
      </c>
    </row>
    <row r="4" spans="1:8" x14ac:dyDescent="0.2">
      <c r="B4" t="s">
        <v>272</v>
      </c>
      <c r="C4" s="2">
        <v>3000</v>
      </c>
    </row>
    <row r="5" spans="1:8" x14ac:dyDescent="0.2">
      <c r="B5" t="s">
        <v>273</v>
      </c>
      <c r="C5" s="2">
        <v>2000</v>
      </c>
    </row>
    <row r="6" spans="1:8" x14ac:dyDescent="0.2">
      <c r="B6" t="s">
        <v>274</v>
      </c>
      <c r="C6" s="2">
        <v>1700</v>
      </c>
    </row>
    <row r="7" spans="1:8" x14ac:dyDescent="0.2">
      <c r="B7" t="s">
        <v>275</v>
      </c>
      <c r="C7" s="2">
        <v>1400</v>
      </c>
    </row>
    <row r="8" spans="1:8" x14ac:dyDescent="0.2">
      <c r="B8" t="s">
        <v>276</v>
      </c>
      <c r="C8" s="2">
        <v>1350</v>
      </c>
    </row>
    <row r="9" spans="1:8" x14ac:dyDescent="0.2">
      <c r="B9" t="s">
        <v>277</v>
      </c>
      <c r="C9" s="2">
        <v>1250</v>
      </c>
    </row>
    <row r="10" spans="1:8" x14ac:dyDescent="0.2">
      <c r="B10" t="s">
        <v>278</v>
      </c>
      <c r="C10" s="2">
        <v>1055</v>
      </c>
    </row>
    <row r="11" spans="1:8" x14ac:dyDescent="0.2">
      <c r="B11" t="s">
        <v>279</v>
      </c>
      <c r="C11" s="2">
        <v>1000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4FA-4A0D-4093-BFB0-AC151F092109}">
  <dimension ref="A1:F2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9.42578125" bestFit="1" customWidth="1"/>
    <col min="4" max="4" width="8.5703125" bestFit="1" customWidth="1"/>
    <col min="6" max="6" width="17.85546875" bestFit="1" customWidth="1"/>
  </cols>
  <sheetData>
    <row r="1" spans="1:6" x14ac:dyDescent="0.2">
      <c r="A1" s="1" t="s">
        <v>16</v>
      </c>
    </row>
    <row r="2" spans="1:6" x14ac:dyDescent="0.2">
      <c r="B2" t="s">
        <v>0</v>
      </c>
      <c r="C2" t="s">
        <v>252</v>
      </c>
      <c r="D2" t="s">
        <v>271</v>
      </c>
      <c r="E2" t="s">
        <v>13</v>
      </c>
      <c r="F2" t="s">
        <v>283</v>
      </c>
    </row>
    <row r="3" spans="1:6" x14ac:dyDescent="0.2">
      <c r="B3" t="s">
        <v>253</v>
      </c>
      <c r="C3" s="2">
        <v>22000</v>
      </c>
      <c r="D3" s="3"/>
      <c r="E3">
        <v>2000</v>
      </c>
      <c r="F3" t="s">
        <v>433</v>
      </c>
    </row>
    <row r="4" spans="1:6" x14ac:dyDescent="0.2">
      <c r="B4" t="s">
        <v>254</v>
      </c>
      <c r="C4" s="2">
        <v>18200</v>
      </c>
      <c r="D4" s="3"/>
      <c r="E4">
        <v>1989</v>
      </c>
      <c r="F4" t="s">
        <v>282</v>
      </c>
    </row>
    <row r="5" spans="1:6" x14ac:dyDescent="0.2">
      <c r="B5" t="s">
        <v>255</v>
      </c>
      <c r="C5" s="2">
        <v>16100</v>
      </c>
      <c r="D5" s="3"/>
      <c r="E5">
        <v>1994</v>
      </c>
    </row>
    <row r="6" spans="1:6" x14ac:dyDescent="0.2">
      <c r="B6" t="s">
        <v>256</v>
      </c>
      <c r="C6" s="2">
        <v>11300</v>
      </c>
      <c r="D6" s="3">
        <v>0.28399999999999997</v>
      </c>
      <c r="E6">
        <v>2004</v>
      </c>
    </row>
    <row r="7" spans="1:6" x14ac:dyDescent="0.2">
      <c r="B7" t="s">
        <v>257</v>
      </c>
      <c r="C7" s="2">
        <v>9700</v>
      </c>
    </row>
    <row r="8" spans="1:6" x14ac:dyDescent="0.2">
      <c r="B8" t="s">
        <v>258</v>
      </c>
      <c r="C8" s="2">
        <v>7020</v>
      </c>
      <c r="F8" t="s">
        <v>281</v>
      </c>
    </row>
    <row r="9" spans="1:6" x14ac:dyDescent="0.2">
      <c r="B9" t="s">
        <v>262</v>
      </c>
      <c r="C9" s="2">
        <v>6100</v>
      </c>
    </row>
    <row r="10" spans="1:6" x14ac:dyDescent="0.2">
      <c r="B10" t="s">
        <v>265</v>
      </c>
      <c r="C10" s="2">
        <v>5800</v>
      </c>
    </row>
    <row r="11" spans="1:6" x14ac:dyDescent="0.2">
      <c r="B11" t="s">
        <v>266</v>
      </c>
      <c r="C11" s="2">
        <v>5800</v>
      </c>
    </row>
    <row r="12" spans="1:6" x14ac:dyDescent="0.2">
      <c r="B12" t="s">
        <v>263</v>
      </c>
      <c r="C12" s="2">
        <v>5100</v>
      </c>
    </row>
    <row r="13" spans="1:6" x14ac:dyDescent="0.2">
      <c r="B13" t="s">
        <v>259</v>
      </c>
      <c r="C13" s="2">
        <v>5000</v>
      </c>
    </row>
    <row r="14" spans="1:6" x14ac:dyDescent="0.2">
      <c r="B14" t="s">
        <v>267</v>
      </c>
      <c r="C14" s="2">
        <v>4500</v>
      </c>
    </row>
    <row r="15" spans="1:6" x14ac:dyDescent="0.2">
      <c r="B15" t="s">
        <v>268</v>
      </c>
      <c r="C15" s="2">
        <v>4000</v>
      </c>
    </row>
    <row r="16" spans="1:6" x14ac:dyDescent="0.2">
      <c r="B16" t="s">
        <v>260</v>
      </c>
      <c r="C16" s="2">
        <v>2600</v>
      </c>
    </row>
    <row r="17" spans="2:3" x14ac:dyDescent="0.2">
      <c r="B17" t="s">
        <v>264</v>
      </c>
      <c r="C17" s="2">
        <v>2400</v>
      </c>
    </row>
    <row r="18" spans="2:3" x14ac:dyDescent="0.2">
      <c r="B18" t="s">
        <v>261</v>
      </c>
      <c r="C18" s="2">
        <v>2000</v>
      </c>
    </row>
    <row r="19" spans="2:3" x14ac:dyDescent="0.2">
      <c r="B19" t="s">
        <v>269</v>
      </c>
      <c r="C19" s="2">
        <v>1800</v>
      </c>
    </row>
    <row r="20" spans="2:3" x14ac:dyDescent="0.2">
      <c r="B20" t="s">
        <v>270</v>
      </c>
      <c r="C20" s="2">
        <v>400</v>
      </c>
    </row>
  </sheetData>
  <hyperlinks>
    <hyperlink ref="A1" location="Main!A1" display="Main" xr:uid="{AF3E7F5B-DADA-4CB8-ACE5-C72ABEFBF5E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83D-85C3-4E8A-9BF1-6D7047D6B4EA}">
  <dimension ref="A1:C16"/>
  <sheetViews>
    <sheetView zoomScale="145" zoomScaleNormal="145" workbookViewId="0">
      <pane ySplit="2" topLeftCell="A3" activePane="bottomLeft" state="frozen"/>
      <selection pane="bottomLeft" activeCell="B14" sqref="B14"/>
    </sheetView>
  </sheetViews>
  <sheetFormatPr defaultRowHeight="12.75" x14ac:dyDescent="0.2"/>
  <cols>
    <col min="1" max="1" width="5" bestFit="1" customWidth="1"/>
    <col min="2" max="2" width="23.7109375" bestFit="1" customWidth="1"/>
    <col min="3" max="3" width="27.5703125" bestFit="1" customWidth="1"/>
  </cols>
  <sheetData>
    <row r="1" spans="1:3" x14ac:dyDescent="0.2">
      <c r="A1" s="1" t="s">
        <v>16</v>
      </c>
    </row>
    <row r="2" spans="1:3" x14ac:dyDescent="0.2">
      <c r="B2" t="s">
        <v>802</v>
      </c>
      <c r="C2" t="s">
        <v>425</v>
      </c>
    </row>
    <row r="3" spans="1:3" x14ac:dyDescent="0.2">
      <c r="B3" s="1" t="s">
        <v>782</v>
      </c>
    </row>
    <row r="4" spans="1:3" x14ac:dyDescent="0.2">
      <c r="B4" s="1" t="s">
        <v>783</v>
      </c>
    </row>
    <row r="5" spans="1:3" x14ac:dyDescent="0.2">
      <c r="B5" s="1" t="s">
        <v>784</v>
      </c>
    </row>
    <row r="6" spans="1:3" x14ac:dyDescent="0.2">
      <c r="B6" s="5" t="s">
        <v>785</v>
      </c>
      <c r="C6" t="s">
        <v>786</v>
      </c>
    </row>
    <row r="7" spans="1:3" x14ac:dyDescent="0.2">
      <c r="B7" s="1" t="s">
        <v>787</v>
      </c>
      <c r="C7" t="s">
        <v>788</v>
      </c>
    </row>
    <row r="8" spans="1:3" x14ac:dyDescent="0.2">
      <c r="B8" s="1" t="s">
        <v>789</v>
      </c>
    </row>
    <row r="9" spans="1:3" x14ac:dyDescent="0.2">
      <c r="B9" s="1" t="s">
        <v>790</v>
      </c>
      <c r="C9" t="s">
        <v>791</v>
      </c>
    </row>
    <row r="10" spans="1:3" x14ac:dyDescent="0.2">
      <c r="B10" s="1" t="s">
        <v>792</v>
      </c>
      <c r="C10" t="s">
        <v>793</v>
      </c>
    </row>
    <row r="11" spans="1:3" x14ac:dyDescent="0.2">
      <c r="B11" s="1" t="s">
        <v>794</v>
      </c>
      <c r="C11" t="s">
        <v>795</v>
      </c>
    </row>
    <row r="12" spans="1:3" x14ac:dyDescent="0.2">
      <c r="B12" s="1" t="s">
        <v>796</v>
      </c>
      <c r="C12" t="s">
        <v>797</v>
      </c>
    </row>
    <row r="13" spans="1:3" x14ac:dyDescent="0.2">
      <c r="B13" s="1" t="s">
        <v>798</v>
      </c>
      <c r="C13" t="s">
        <v>799</v>
      </c>
    </row>
    <row r="14" spans="1:3" x14ac:dyDescent="0.2">
      <c r="B14" s="1" t="s">
        <v>800</v>
      </c>
      <c r="C14" t="s">
        <v>801</v>
      </c>
    </row>
    <row r="16" spans="1:3" x14ac:dyDescent="0.2">
      <c r="B16" s="1" t="s">
        <v>803</v>
      </c>
    </row>
  </sheetData>
  <hyperlinks>
    <hyperlink ref="A1" location="Main!A1" display="Main" xr:uid="{90F3DD21-DDC2-4F98-8437-662DF760BA02}"/>
    <hyperlink ref="B3" r:id="rId1" xr:uid="{89DB7E69-A990-4EE6-B45B-B2F7EA466FFD}"/>
    <hyperlink ref="B4" r:id="rId2" xr:uid="{4B493ECD-D6DB-440A-AFB7-B08B21FD463E}"/>
    <hyperlink ref="B5" r:id="rId3" xr:uid="{6E1BD20D-A7F9-4F65-AA01-680A08543666}"/>
    <hyperlink ref="B6" r:id="rId4" xr:uid="{054F97BB-E66E-4850-A4B6-6C64E5B08A88}"/>
    <hyperlink ref="B7" r:id="rId5" xr:uid="{4F0F8CDE-25E9-43A4-9527-91DEAC9B0981}"/>
    <hyperlink ref="B8" r:id="rId6" xr:uid="{36D70A2C-E77B-4A85-AAB9-6D5F738BC6F6}"/>
    <hyperlink ref="B10" r:id="rId7" xr:uid="{00A3DD10-E8D0-475D-9802-0F30B57B9B5F}"/>
    <hyperlink ref="B9" r:id="rId8" xr:uid="{54F2F680-AD33-432F-9C06-BC86ACD04E67}"/>
    <hyperlink ref="B11" r:id="rId9" xr:uid="{2F0B8E77-0AD8-4494-A657-2C56C904BAF0}"/>
    <hyperlink ref="B12" r:id="rId10" xr:uid="{0C225352-97F8-4A8F-AFE8-1066136BF14E}"/>
    <hyperlink ref="B13" r:id="rId11" xr:uid="{EEEC0431-930E-4063-A5B4-6D3789D1AA5E}"/>
    <hyperlink ref="B14" r:id="rId12" xr:uid="{FC3A1F64-9B8F-4DB9-9B95-31D0B1AE28DE}"/>
    <hyperlink ref="B16" r:id="rId13" xr:uid="{F03225AD-1323-4BEF-AD31-0634F15A0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Todo</vt:lpstr>
      <vt:lpstr>Clinical Trials</vt:lpstr>
      <vt:lpstr>Launches</vt:lpstr>
      <vt:lpstr>Drugs</vt:lpstr>
      <vt:lpstr>Diseases</vt:lpstr>
      <vt:lpstr>Private</vt:lpstr>
      <vt:lpstr>Funds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2025-09-01T08:17:20Z</dcterms:modified>
</cp:coreProperties>
</file>