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792CEE4B-6EF2-43A8-8AC8-B4BB4985EE2E}" xr6:coauthVersionLast="47" xr6:coauthVersionMax="47" xr10:uidLastSave="{00000000-0000-0000-0000-000000000000}"/>
  <bookViews>
    <workbookView xWindow="900" yWindow="510" windowWidth="22200" windowHeight="14205" xr2:uid="{975520F9-B6E9-48FA-9812-89BEC17E31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E22" i="1"/>
  <c r="E21" i="1"/>
  <c r="D23" i="1"/>
  <c r="D22" i="1"/>
  <c r="D21" i="1"/>
  <c r="J22" i="1"/>
  <c r="J21" i="1"/>
  <c r="F19" i="1"/>
  <c r="F22" i="1"/>
  <c r="F21" i="1"/>
  <c r="L22" i="1"/>
  <c r="L21" i="1"/>
  <c r="J17" i="1"/>
  <c r="H24" i="1"/>
  <c r="M29" i="1" l="1"/>
  <c r="M28" i="1"/>
  <c r="L29" i="1"/>
  <c r="L28" i="1"/>
  <c r="L27" i="1"/>
  <c r="J29" i="1"/>
  <c r="J28" i="1"/>
  <c r="J27" i="1"/>
  <c r="H3" i="1" l="1"/>
  <c r="K3" i="1" s="1"/>
  <c r="V10" i="1"/>
  <c r="L19" i="1"/>
  <c r="M3" i="1" l="1"/>
  <c r="M27" i="1" s="1"/>
  <c r="K24" i="1"/>
  <c r="M19" i="1" l="1"/>
  <c r="K25" i="1"/>
  <c r="H11" i="1"/>
  <c r="H9" i="1"/>
  <c r="H8" i="1"/>
  <c r="H6" i="1"/>
  <c r="H7" i="1"/>
  <c r="H5" i="1"/>
  <c r="H21" i="1" l="1"/>
  <c r="H22" i="1"/>
  <c r="V6" i="1"/>
  <c r="V8" i="1"/>
  <c r="V9" i="1"/>
  <c r="V5" i="1"/>
  <c r="H19" i="1"/>
  <c r="V3" i="1"/>
  <c r="V11" i="1" l="1"/>
  <c r="K29" i="1"/>
  <c r="V7" i="1"/>
  <c r="K28" i="1"/>
  <c r="K27" i="1"/>
  <c r="V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tc={B4EED76B-49BB-40DB-92C4-49E5B3985B9F}</author>
  </authors>
  <commentList>
    <comment ref="R2" authorId="0" shapeId="0" xr:uid="{B4EED76B-49BB-40DB-92C4-49E5B3985B9F}">
      <text>
        <t>[Threaded comment]
Your version of Excel allows you to read this threaded comment; however, any edits to it will get removed if the file is opened in a newer version of Excel. Learn more: https://go.microsoft.com/fwlink/?linkid=870924
Comment:
    10YR yield</t>
      </text>
    </comment>
  </commentList>
</comments>
</file>

<file path=xl/sharedStrings.xml><?xml version="1.0" encoding="utf-8"?>
<sst xmlns="http://schemas.openxmlformats.org/spreadsheetml/2006/main" count="81" uniqueCount="48">
  <si>
    <t>Date</t>
  </si>
  <si>
    <t>SRPT</t>
  </si>
  <si>
    <t>AVXL</t>
  </si>
  <si>
    <t>PYPL</t>
  </si>
  <si>
    <t>SPY (Benchmark)</t>
  </si>
  <si>
    <t>ATYR</t>
  </si>
  <si>
    <t>ABVX</t>
  </si>
  <si>
    <t>OXY</t>
  </si>
  <si>
    <t>SMMT</t>
  </si>
  <si>
    <t>Stock</t>
  </si>
  <si>
    <t>Direction</t>
  </si>
  <si>
    <t>Price</t>
  </si>
  <si>
    <t>Conviction/Size</t>
  </si>
  <si>
    <t>Current Price</t>
  </si>
  <si>
    <t>%</t>
  </si>
  <si>
    <t>Notes</t>
  </si>
  <si>
    <t>W/L</t>
  </si>
  <si>
    <t>LONG</t>
  </si>
  <si>
    <t>SHORT</t>
  </si>
  <si>
    <t>alpha</t>
  </si>
  <si>
    <t>10YR US Yield</t>
  </si>
  <si>
    <t>beta</t>
  </si>
  <si>
    <t>WinRate</t>
  </si>
  <si>
    <t>(test)</t>
  </si>
  <si>
    <t>conviction adj. alpha</t>
  </si>
  <si>
    <t>CRDF</t>
  </si>
  <si>
    <t>AVG</t>
  </si>
  <si>
    <t>Sector</t>
  </si>
  <si>
    <t>Biopharma</t>
  </si>
  <si>
    <t>Tech</t>
  </si>
  <si>
    <t>Energy</t>
  </si>
  <si>
    <t>CLOSE</t>
  </si>
  <si>
    <t>CLOSED</t>
  </si>
  <si>
    <t>IRR</t>
  </si>
  <si>
    <t>RFR</t>
  </si>
  <si>
    <t>SPY Price</t>
  </si>
  <si>
    <t>Model</t>
  </si>
  <si>
    <t>Thesis</t>
  </si>
  <si>
    <t>X</t>
  </si>
  <si>
    <t>AVOID</t>
  </si>
  <si>
    <t>OKLO</t>
  </si>
  <si>
    <t>QBTS</t>
  </si>
  <si>
    <t>IONQ</t>
  </si>
  <si>
    <t>JOBY</t>
  </si>
  <si>
    <t>MSTR</t>
  </si>
  <si>
    <t>Quantum</t>
  </si>
  <si>
    <t>Crypto/Fake</t>
  </si>
  <si>
    <t>Aerospace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</si>
</sst>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0" fontId="2" fillId="0" borderId="0" xfId="1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2F22929-51C4-4A49-8A52-D430D2AD071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5-08-26T05:28:16.22" personId="{C2F22929-51C4-4A49-8A52-D430D2AD0712}" id="{B4EED76B-49BB-40DB-92C4-49E5B3985B9F}">
    <text>10YR yield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iamRender/models/blob/main/OXY.xlsx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github.com/LiamRender/models/blob/main/SRPT.xlsx" TargetMode="External"/><Relationship Id="rId7" Type="http://schemas.openxmlformats.org/officeDocument/2006/relationships/hyperlink" Target="https://github.com/LiamRender/models/blob/main/ABVX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iamRender/theses/blob/main/CRDFthesis.pdf" TargetMode="External"/><Relationship Id="rId1" Type="http://schemas.openxmlformats.org/officeDocument/2006/relationships/hyperlink" Target="https://github.com/LiamRender/models/blob/main/CRDF.xlsx" TargetMode="External"/><Relationship Id="rId6" Type="http://schemas.openxmlformats.org/officeDocument/2006/relationships/hyperlink" Target="https://github.com/LiamRender/models/blob/main/ATYR.xlsx" TargetMode="External"/><Relationship Id="rId11" Type="http://schemas.openxmlformats.org/officeDocument/2006/relationships/hyperlink" Target="https://github.com/LiamRender/models/blob/main/JOBY.xlsx" TargetMode="External"/><Relationship Id="rId5" Type="http://schemas.openxmlformats.org/officeDocument/2006/relationships/hyperlink" Target="https://github.com/LiamRender/models/blob/main/PYPL.xlsx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github.com/LiamRender/models/blob/main/OKLO.xlsx" TargetMode="External"/><Relationship Id="rId4" Type="http://schemas.openxmlformats.org/officeDocument/2006/relationships/hyperlink" Target="https://github.com/LiamRender/models/blob/main/AVXL.xlsx" TargetMode="External"/><Relationship Id="rId9" Type="http://schemas.openxmlformats.org/officeDocument/2006/relationships/hyperlink" Target="https://github.com/LiamRender/models/blob/main/SMMT.xlsx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B13-8CAC-436C-8123-F4D415EF8DC4}">
  <dimension ref="A1:V31"/>
  <sheetViews>
    <sheetView tabSelected="1" zoomScale="160" zoomScaleNormal="160" workbookViewId="0">
      <pane xSplit="2" ySplit="2" topLeftCell="O3" activePane="bottomRight" state="frozen"/>
      <selection pane="topRight" activeCell="C1" sqref="C1"/>
      <selection pane="bottomLeft" activeCell="A2" sqref="A2"/>
      <selection pane="bottomRight" activeCell="T7" sqref="T7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4" width="9.42578125" bestFit="1" customWidth="1"/>
    <col min="5" max="5" width="7" bestFit="1" customWidth="1"/>
    <col min="6" max="6" width="13.85546875" bestFit="1" customWidth="1"/>
    <col min="7" max="7" width="11.85546875" bestFit="1" customWidth="1"/>
    <col min="8" max="8" width="10.140625" customWidth="1"/>
    <col min="9" max="9" width="8.5703125" bestFit="1" customWidth="1"/>
    <col min="14" max="14" width="11.140625" bestFit="1" customWidth="1"/>
    <col min="15" max="15" width="9.85546875" customWidth="1"/>
    <col min="22" max="22" width="18" bestFit="1" customWidth="1"/>
  </cols>
  <sheetData>
    <row r="1" spans="1:22" x14ac:dyDescent="0.2">
      <c r="A1" s="4"/>
      <c r="B1" s="1"/>
      <c r="V1" t="s">
        <v>23</v>
      </c>
    </row>
    <row r="2" spans="1:22" x14ac:dyDescent="0.2">
      <c r="B2" t="s">
        <v>9</v>
      </c>
      <c r="C2" t="s">
        <v>0</v>
      </c>
      <c r="D2" t="s">
        <v>10</v>
      </c>
      <c r="E2" t="s">
        <v>11</v>
      </c>
      <c r="F2" t="s">
        <v>12</v>
      </c>
      <c r="G2" t="s">
        <v>13</v>
      </c>
      <c r="H2" s="5" t="s">
        <v>14</v>
      </c>
      <c r="I2" t="s">
        <v>15</v>
      </c>
      <c r="J2" t="s">
        <v>16</v>
      </c>
      <c r="K2" t="s">
        <v>19</v>
      </c>
      <c r="L2" t="s">
        <v>21</v>
      </c>
      <c r="M2" t="s">
        <v>33</v>
      </c>
      <c r="N2" t="s">
        <v>27</v>
      </c>
      <c r="O2" t="s">
        <v>36</v>
      </c>
      <c r="P2" t="s">
        <v>37</v>
      </c>
      <c r="Q2" t="s">
        <v>35</v>
      </c>
      <c r="R2" t="s">
        <v>34</v>
      </c>
      <c r="V2" t="s">
        <v>24</v>
      </c>
    </row>
    <row r="3" spans="1:22" x14ac:dyDescent="0.2">
      <c r="B3" t="s">
        <v>25</v>
      </c>
      <c r="C3" s="1">
        <v>45862</v>
      </c>
      <c r="D3" t="s">
        <v>18</v>
      </c>
      <c r="E3">
        <v>4.1399999999999997</v>
      </c>
      <c r="F3">
        <v>3</v>
      </c>
      <c r="G3">
        <v>2.4900000000000002</v>
      </c>
      <c r="H3" s="3">
        <f>(E4/E3-1)*-1</f>
        <v>0.39855072463768104</v>
      </c>
      <c r="I3" t="s">
        <v>32</v>
      </c>
      <c r="J3">
        <v>1</v>
      </c>
      <c r="K3" s="6">
        <f>H3-(R3+L3*((Q4/Q3)-1)-R3)</f>
        <v>0.39845362807704293</v>
      </c>
      <c r="L3">
        <v>1.54</v>
      </c>
      <c r="M3" s="3">
        <f>H3/(DATEDIF(C3,C4,"d")/365)</f>
        <v>24.245169082125599</v>
      </c>
      <c r="N3" t="s">
        <v>28</v>
      </c>
      <c r="O3" s="9" t="s">
        <v>38</v>
      </c>
      <c r="P3" s="9" t="s">
        <v>38</v>
      </c>
      <c r="Q3" s="2">
        <v>634.41999999999996</v>
      </c>
      <c r="R3" s="6">
        <v>4.2700000000000002E-2</v>
      </c>
      <c r="V3" s="6">
        <f>(F3*K3)/MIN(F3:F11)</f>
        <v>0.39845362807704293</v>
      </c>
    </row>
    <row r="4" spans="1:22" x14ac:dyDescent="0.2">
      <c r="C4" s="1">
        <v>45868</v>
      </c>
      <c r="D4" t="s">
        <v>31</v>
      </c>
      <c r="E4">
        <v>2.4900000000000002</v>
      </c>
      <c r="H4" s="3"/>
      <c r="K4" s="6"/>
      <c r="O4" s="7"/>
      <c r="P4" s="7"/>
      <c r="Q4" s="2">
        <v>634.46</v>
      </c>
      <c r="V4" s="6"/>
    </row>
    <row r="5" spans="1:22" x14ac:dyDescent="0.2">
      <c r="B5" t="s">
        <v>1</v>
      </c>
      <c r="C5" s="1">
        <v>45887</v>
      </c>
      <c r="D5" t="s">
        <v>17</v>
      </c>
      <c r="E5">
        <v>21.81</v>
      </c>
      <c r="F5">
        <v>5</v>
      </c>
      <c r="G5">
        <v>18.2</v>
      </c>
      <c r="H5" s="3">
        <f>G5/E5-1</f>
        <v>-0.16552040348464003</v>
      </c>
      <c r="K5" s="6"/>
      <c r="L5">
        <v>0.46</v>
      </c>
      <c r="M5" s="3"/>
      <c r="N5" t="s">
        <v>28</v>
      </c>
      <c r="O5" s="9" t="s">
        <v>38</v>
      </c>
      <c r="P5" s="10"/>
      <c r="Q5" s="2">
        <v>643.29999999999995</v>
      </c>
      <c r="R5" s="6">
        <v>4.2700000000000002E-2</v>
      </c>
      <c r="V5" s="6">
        <f>(F5*K5)/MIN(F5:F11)</f>
        <v>0</v>
      </c>
    </row>
    <row r="6" spans="1:22" x14ac:dyDescent="0.2">
      <c r="B6" t="s">
        <v>2</v>
      </c>
      <c r="C6" s="1">
        <v>45887</v>
      </c>
      <c r="D6" t="s">
        <v>18</v>
      </c>
      <c r="E6">
        <v>9.94</v>
      </c>
      <c r="F6">
        <v>5</v>
      </c>
      <c r="G6">
        <v>9.64</v>
      </c>
      <c r="H6" s="3">
        <f>(G6/E6-1)*-1</f>
        <v>3.0181086519114553E-2</v>
      </c>
      <c r="K6" s="6"/>
      <c r="L6" s="2">
        <v>0.8</v>
      </c>
      <c r="M6" s="3"/>
      <c r="N6" t="s">
        <v>28</v>
      </c>
      <c r="O6" s="9" t="s">
        <v>38</v>
      </c>
      <c r="P6" s="10"/>
      <c r="Q6" s="2">
        <v>643.29999999999995</v>
      </c>
      <c r="R6" s="6">
        <v>4.2700000000000002E-2</v>
      </c>
      <c r="V6" s="6">
        <f>(F6*K6)/MIN(F6:F16)</f>
        <v>0</v>
      </c>
    </row>
    <row r="7" spans="1:22" x14ac:dyDescent="0.2">
      <c r="B7" t="s">
        <v>3</v>
      </c>
      <c r="C7" s="1">
        <v>45887</v>
      </c>
      <c r="D7" t="s">
        <v>17</v>
      </c>
      <c r="E7">
        <v>69.23</v>
      </c>
      <c r="F7">
        <v>3</v>
      </c>
      <c r="G7">
        <v>70.19</v>
      </c>
      <c r="H7" s="3">
        <f>G7/E7-1</f>
        <v>1.3866820742452601E-2</v>
      </c>
      <c r="K7" s="6"/>
      <c r="L7">
        <v>1.44</v>
      </c>
      <c r="M7" s="3"/>
      <c r="N7" t="s">
        <v>29</v>
      </c>
      <c r="O7" s="9" t="s">
        <v>38</v>
      </c>
      <c r="P7" s="10"/>
      <c r="Q7" s="2">
        <v>643.29999999999995</v>
      </c>
      <c r="R7" s="6">
        <v>4.2700000000000002E-2</v>
      </c>
      <c r="V7" s="6">
        <f>(F7*K7)/MIN(F7:F25)</f>
        <v>0</v>
      </c>
    </row>
    <row r="8" spans="1:22" x14ac:dyDescent="0.2">
      <c r="B8" t="s">
        <v>5</v>
      </c>
      <c r="C8" s="1">
        <v>45894</v>
      </c>
      <c r="D8" t="s">
        <v>18</v>
      </c>
      <c r="E8" s="2">
        <v>5.3</v>
      </c>
      <c r="F8">
        <v>5</v>
      </c>
      <c r="G8" s="2">
        <v>5.38</v>
      </c>
      <c r="H8" s="3">
        <f>G8/E8-1</f>
        <v>1.5094339622641506E-2</v>
      </c>
      <c r="K8" s="6"/>
      <c r="L8">
        <v>0.95</v>
      </c>
      <c r="M8" s="3"/>
      <c r="N8" t="s">
        <v>28</v>
      </c>
      <c r="O8" s="9" t="s">
        <v>38</v>
      </c>
      <c r="P8" s="10"/>
      <c r="Q8" s="2">
        <v>642.47</v>
      </c>
      <c r="R8" s="6">
        <v>4.2700000000000002E-2</v>
      </c>
      <c r="V8" s="6">
        <f>(F8*K8)/MIN(F8:F19)</f>
        <v>0</v>
      </c>
    </row>
    <row r="9" spans="1:22" x14ac:dyDescent="0.2">
      <c r="B9" t="s">
        <v>6</v>
      </c>
      <c r="C9" s="1">
        <v>45894</v>
      </c>
      <c r="D9" t="s">
        <v>17</v>
      </c>
      <c r="E9" s="2">
        <v>77</v>
      </c>
      <c r="F9">
        <v>3</v>
      </c>
      <c r="G9" s="2">
        <v>80.53</v>
      </c>
      <c r="H9" s="3">
        <f>G9/E9-1</f>
        <v>4.5844155844155798E-2</v>
      </c>
      <c r="K9" s="6"/>
      <c r="L9">
        <v>1.58</v>
      </c>
      <c r="M9" s="3"/>
      <c r="N9" t="s">
        <v>28</v>
      </c>
      <c r="O9" s="9" t="s">
        <v>38</v>
      </c>
      <c r="P9" s="10"/>
      <c r="Q9" s="2">
        <v>642.47</v>
      </c>
      <c r="R9" s="6">
        <v>4.2700000000000002E-2</v>
      </c>
      <c r="V9" s="6">
        <f>(F9*K9)/MIN(F9:F20)</f>
        <v>0</v>
      </c>
    </row>
    <row r="10" spans="1:22" x14ac:dyDescent="0.2">
      <c r="B10" t="s">
        <v>8</v>
      </c>
      <c r="C10" s="1">
        <v>45894</v>
      </c>
      <c r="D10" t="s">
        <v>39</v>
      </c>
      <c r="E10" s="2">
        <v>26</v>
      </c>
      <c r="G10" s="2">
        <v>23.7</v>
      </c>
      <c r="H10" s="3"/>
      <c r="K10" s="6"/>
      <c r="L10">
        <v>0.86</v>
      </c>
      <c r="M10" s="3"/>
      <c r="N10" t="s">
        <v>28</v>
      </c>
      <c r="O10" s="9" t="s">
        <v>38</v>
      </c>
      <c r="P10" s="10"/>
      <c r="Q10" s="2">
        <v>642.47</v>
      </c>
      <c r="R10" s="6">
        <v>4.2700000000000002E-2</v>
      </c>
      <c r="V10" s="6">
        <f>(F10*K10)/MIN(F10:F24)</f>
        <v>0</v>
      </c>
    </row>
    <row r="11" spans="1:22" x14ac:dyDescent="0.2">
      <c r="B11" t="s">
        <v>7</v>
      </c>
      <c r="C11" s="1">
        <v>45894</v>
      </c>
      <c r="D11" t="s">
        <v>17</v>
      </c>
      <c r="E11" s="2">
        <v>46</v>
      </c>
      <c r="F11">
        <v>5</v>
      </c>
      <c r="G11" s="2">
        <v>47.61</v>
      </c>
      <c r="H11" s="3">
        <f>G11/E11-1</f>
        <v>3.499999999999992E-2</v>
      </c>
      <c r="K11" s="6"/>
      <c r="L11">
        <v>0.91</v>
      </c>
      <c r="M11" s="3"/>
      <c r="N11" t="s">
        <v>30</v>
      </c>
      <c r="O11" s="9" t="s">
        <v>38</v>
      </c>
      <c r="P11" s="10"/>
      <c r="Q11" s="2">
        <v>642.47</v>
      </c>
      <c r="R11" s="6">
        <v>4.2700000000000002E-2</v>
      </c>
      <c r="V11" s="6">
        <f>(F11*K11)/MIN(F11:F27)</f>
        <v>0</v>
      </c>
    </row>
    <row r="12" spans="1:22" x14ac:dyDescent="0.2">
      <c r="B12" t="s">
        <v>40</v>
      </c>
      <c r="C12" s="1">
        <v>45897</v>
      </c>
      <c r="D12" t="s">
        <v>18</v>
      </c>
      <c r="E12" s="2">
        <v>73</v>
      </c>
      <c r="F12">
        <v>3</v>
      </c>
      <c r="G12" s="2"/>
      <c r="H12" s="3"/>
      <c r="K12" s="6"/>
      <c r="L12">
        <v>0.62</v>
      </c>
      <c r="M12" s="3"/>
      <c r="N12" t="s">
        <v>30</v>
      </c>
      <c r="O12" s="9" t="s">
        <v>38</v>
      </c>
      <c r="P12" s="10"/>
      <c r="Q12" s="2">
        <v>647</v>
      </c>
      <c r="R12" s="6">
        <v>4.2299999999999997E-2</v>
      </c>
      <c r="V12" s="6"/>
    </row>
    <row r="13" spans="1:22" x14ac:dyDescent="0.2">
      <c r="B13" t="s">
        <v>41</v>
      </c>
      <c r="C13" s="1">
        <v>45897</v>
      </c>
      <c r="D13" t="s">
        <v>18</v>
      </c>
      <c r="E13" s="2">
        <v>15.92</v>
      </c>
      <c r="F13">
        <v>4</v>
      </c>
      <c r="G13" s="2"/>
      <c r="H13" s="3"/>
      <c r="K13" s="6"/>
      <c r="L13" s="2">
        <v>1.4</v>
      </c>
      <c r="M13" s="3"/>
      <c r="N13" t="s">
        <v>45</v>
      </c>
      <c r="O13" s="9"/>
      <c r="P13" s="10"/>
      <c r="Q13" s="2">
        <v>647</v>
      </c>
      <c r="R13" s="6">
        <v>4.2299999999999997E-2</v>
      </c>
      <c r="V13" s="6"/>
    </row>
    <row r="14" spans="1:22" x14ac:dyDescent="0.2">
      <c r="B14" t="s">
        <v>42</v>
      </c>
      <c r="C14" s="1">
        <v>45897</v>
      </c>
      <c r="D14" t="s">
        <v>18</v>
      </c>
      <c r="E14" s="2">
        <v>43.3</v>
      </c>
      <c r="F14">
        <v>4</v>
      </c>
      <c r="G14" s="2"/>
      <c r="H14" s="3"/>
      <c r="K14" s="6"/>
      <c r="L14">
        <v>2.54</v>
      </c>
      <c r="M14" s="3"/>
      <c r="N14" t="s">
        <v>45</v>
      </c>
      <c r="O14" s="9"/>
      <c r="P14" s="10"/>
      <c r="Q14" s="2">
        <v>647</v>
      </c>
      <c r="R14" s="6">
        <v>4.2299999999999997E-2</v>
      </c>
      <c r="V14" s="6"/>
    </row>
    <row r="15" spans="1:22" x14ac:dyDescent="0.2">
      <c r="B15" t="s">
        <v>43</v>
      </c>
      <c r="C15" s="1">
        <v>45897</v>
      </c>
      <c r="D15" t="s">
        <v>18</v>
      </c>
      <c r="E15" s="2">
        <v>14.27</v>
      </c>
      <c r="F15">
        <v>3</v>
      </c>
      <c r="G15" s="2"/>
      <c r="H15" s="3"/>
      <c r="K15" s="6"/>
      <c r="L15">
        <v>2.52</v>
      </c>
      <c r="M15" s="3"/>
      <c r="N15" t="s">
        <v>47</v>
      </c>
      <c r="O15" s="9" t="s">
        <v>38</v>
      </c>
      <c r="P15" s="10"/>
      <c r="Q15" s="2">
        <v>647</v>
      </c>
      <c r="R15" s="6">
        <v>4.2299999999999997E-2</v>
      </c>
      <c r="V15" s="6"/>
    </row>
    <row r="16" spans="1:22" x14ac:dyDescent="0.2">
      <c r="B16" t="s">
        <v>44</v>
      </c>
      <c r="C16" s="1">
        <v>45897</v>
      </c>
      <c r="D16" t="s">
        <v>18</v>
      </c>
      <c r="E16" s="2">
        <v>338.84</v>
      </c>
      <c r="F16">
        <v>4</v>
      </c>
      <c r="L16">
        <v>3.78</v>
      </c>
      <c r="N16" t="s">
        <v>46</v>
      </c>
      <c r="Q16" s="2">
        <v>647</v>
      </c>
      <c r="R16" s="6">
        <v>4.2299999999999997E-2</v>
      </c>
    </row>
    <row r="17" spans="2:22" x14ac:dyDescent="0.2">
      <c r="I17" s="8" t="s">
        <v>22</v>
      </c>
      <c r="J17" s="3">
        <f>SUM(J3:J16)/COUNT(J3:J16)</f>
        <v>1</v>
      </c>
    </row>
    <row r="18" spans="2:22" x14ac:dyDescent="0.2">
      <c r="I18" s="8"/>
      <c r="J18" s="3"/>
    </row>
    <row r="19" spans="2:22" x14ac:dyDescent="0.2">
      <c r="B19" t="s">
        <v>26</v>
      </c>
      <c r="F19" s="2">
        <f>AVERAGE(F3:F16)</f>
        <v>3.9166666666666665</v>
      </c>
      <c r="H19" s="3">
        <f>AVERAGE(H3:H11)</f>
        <v>5.3288103411629338E-2</v>
      </c>
      <c r="K19" s="6">
        <f>AVERAGE(K3:K11)</f>
        <v>0.39845362807704293</v>
      </c>
      <c r="L19" s="2">
        <f>AVERAGE(L3:L11)</f>
        <v>1.0675000000000001</v>
      </c>
      <c r="M19" s="3">
        <f>AVERAGE(M3:M11)</f>
        <v>24.245169082125599</v>
      </c>
      <c r="V19" s="6">
        <f>AVERAGE(V3:V11)</f>
        <v>4.9806703509630366E-2</v>
      </c>
    </row>
    <row r="20" spans="2:22" x14ac:dyDescent="0.2">
      <c r="H20" s="6"/>
      <c r="K20" s="6"/>
      <c r="V20" s="6"/>
    </row>
    <row r="21" spans="2:22" x14ac:dyDescent="0.2">
      <c r="B21" t="s">
        <v>18</v>
      </c>
      <c r="D21">
        <f>COUNTIF(D3:D16,"SHORT")</f>
        <v>8</v>
      </c>
      <c r="E21" s="3">
        <f>D21/$D$23</f>
        <v>0.66666666666666663</v>
      </c>
      <c r="F21" s="2">
        <f>AVERAGE(F12:F16,F8,F6,F3)</f>
        <v>3.875</v>
      </c>
      <c r="H21" s="3">
        <f>AVERAGE(H12:H16,H8,H6,H3)</f>
        <v>0.14794205025981236</v>
      </c>
      <c r="J21" s="3">
        <f>SUM(J12:J16,J8,J6,J3)/COUNT(J12:J16,J8,J6,J3)</f>
        <v>1</v>
      </c>
      <c r="K21" s="3"/>
      <c r="L21" s="2">
        <f>AVERAGE(L12:L16,L8,L6,L3)</f>
        <v>1.7687499999999998</v>
      </c>
      <c r="V21" s="6"/>
    </row>
    <row r="22" spans="2:22" x14ac:dyDescent="0.2">
      <c r="B22" t="s">
        <v>17</v>
      </c>
      <c r="D22">
        <f>COUNTIF(D3:D16,"LONG")</f>
        <v>4</v>
      </c>
      <c r="E22" s="3">
        <f>D22/$D$23</f>
        <v>0.33333333333333331</v>
      </c>
      <c r="F22" s="2">
        <f>AVERAGE(F11,F9,F7,F5)</f>
        <v>4</v>
      </c>
      <c r="H22" s="3">
        <f>AVERAGE(H11,H9,H7,H5)</f>
        <v>-1.7702356724507928E-2</v>
      </c>
      <c r="J22" t="e">
        <f>SUM(J11,J9,J7,J5)/COUNT(J11,J9,J7,J5)</f>
        <v>#DIV/0!</v>
      </c>
      <c r="K22" s="2"/>
      <c r="L22" s="2">
        <f>AVERAGE(L11,L9,L7,L5)</f>
        <v>1.0975000000000001</v>
      </c>
      <c r="V22" s="6"/>
    </row>
    <row r="23" spans="2:22" x14ac:dyDescent="0.2">
      <c r="D23">
        <f>SUM(D21:D22)</f>
        <v>12</v>
      </c>
      <c r="H23" s="6"/>
      <c r="K23" s="6"/>
      <c r="V23" s="6"/>
    </row>
    <row r="24" spans="2:22" x14ac:dyDescent="0.2">
      <c r="B24" t="s">
        <v>4</v>
      </c>
      <c r="C24" s="1">
        <v>45862</v>
      </c>
      <c r="E24" s="2">
        <v>634.41999999999996</v>
      </c>
      <c r="G24" s="2">
        <v>645.04999999999995</v>
      </c>
      <c r="H24" s="3">
        <f>G24/E24-1</f>
        <v>1.6755461681535966E-2</v>
      </c>
      <c r="I24" s="3"/>
      <c r="K24" s="6">
        <f>H24-($H$25+L24*($H$24-$H$25))</f>
        <v>0</v>
      </c>
      <c r="L24">
        <v>1</v>
      </c>
    </row>
    <row r="25" spans="2:22" x14ac:dyDescent="0.2">
      <c r="B25" t="s">
        <v>20</v>
      </c>
      <c r="C25" s="1"/>
      <c r="H25" s="6">
        <v>4.2700000000000002E-2</v>
      </c>
      <c r="I25" s="3"/>
      <c r="K25" s="6">
        <f>H25-($H$25+L25*($H$24-$H$25))</f>
        <v>0</v>
      </c>
      <c r="L25">
        <v>0</v>
      </c>
    </row>
    <row r="26" spans="2:22" x14ac:dyDescent="0.2">
      <c r="J26" t="s">
        <v>22</v>
      </c>
    </row>
    <row r="27" spans="2:22" x14ac:dyDescent="0.2">
      <c r="B27" t="s">
        <v>28</v>
      </c>
      <c r="J27" s="3">
        <f>SUM(J3,J5,J6,J8,J9,J10)/COUNT(J3,J5,J6,J8,J9,J10)</f>
        <v>1</v>
      </c>
      <c r="K27" s="6">
        <f>AVERAGE(K3,K5,K6,K8,K9,K10)</f>
        <v>0.39845362807704293</v>
      </c>
      <c r="L27" s="2">
        <f>AVERAGE(L3,L5,L6,L8,L9,L10)</f>
        <v>1.0316666666666667</v>
      </c>
      <c r="M27" s="3">
        <f>AVERAGE(M3,M5,M6,M8,M9,M10)</f>
        <v>24.245169082125599</v>
      </c>
    </row>
    <row r="28" spans="2:22" x14ac:dyDescent="0.2">
      <c r="B28" t="s">
        <v>29</v>
      </c>
      <c r="J28" t="e">
        <f>SUM(J7)/COUNT(J7)</f>
        <v>#DIV/0!</v>
      </c>
      <c r="K28" s="6" t="e">
        <f>AVERAGE(K7)</f>
        <v>#DIV/0!</v>
      </c>
      <c r="L28" s="2">
        <f>AVERAGE(L7)</f>
        <v>1.44</v>
      </c>
      <c r="M28" s="3" t="e">
        <f>AVERAGE(M7)</f>
        <v>#DIV/0!</v>
      </c>
    </row>
    <row r="29" spans="2:22" x14ac:dyDescent="0.2">
      <c r="B29" t="s">
        <v>30</v>
      </c>
      <c r="I29" s="3"/>
      <c r="J29" t="e">
        <f>SUM(J11)/COUNT(J11)</f>
        <v>#DIV/0!</v>
      </c>
      <c r="K29" s="6" t="e">
        <f>AVERAGE(K11)</f>
        <v>#DIV/0!</v>
      </c>
      <c r="L29" s="2">
        <f>AVERAGE(L11)</f>
        <v>0.91</v>
      </c>
      <c r="M29" s="3" t="e">
        <f>AVERAGE(M11)</f>
        <v>#DIV/0!</v>
      </c>
    </row>
    <row r="31" spans="2:22" x14ac:dyDescent="0.2">
      <c r="K31" s="6"/>
    </row>
  </sheetData>
  <hyperlinks>
    <hyperlink ref="O3" r:id="rId1" xr:uid="{D28EB580-B8E1-48AE-8C56-94A069342149}"/>
    <hyperlink ref="P3" r:id="rId2" xr:uid="{E30F7852-6389-425A-B287-571FF99532F6}"/>
    <hyperlink ref="O5" r:id="rId3" xr:uid="{D62136F3-CB2F-44C3-B3F1-4721FA1E5EE9}"/>
    <hyperlink ref="O6" r:id="rId4" xr:uid="{3676D465-641E-4B4D-8677-65A91A2F5628}"/>
    <hyperlink ref="O7" r:id="rId5" xr:uid="{C150F644-22BC-4D02-802D-BED0E57B013A}"/>
    <hyperlink ref="O8" r:id="rId6" xr:uid="{99178A6F-2964-4DD4-80DE-C47CB66DDED3}"/>
    <hyperlink ref="O9" r:id="rId7" xr:uid="{1954C073-6EE4-438F-929C-C507A342B480}"/>
    <hyperlink ref="O11" r:id="rId8" xr:uid="{6CCCA1FE-ECD2-4689-860F-9ADE3B056949}"/>
    <hyperlink ref="O10" r:id="rId9" xr:uid="{D35E01C5-0A43-4ACD-BD0C-88FFA33A47B9}"/>
    <hyperlink ref="O12" r:id="rId10" xr:uid="{A047975B-CA68-4AA6-A365-A332455D0250}"/>
    <hyperlink ref="O15" r:id="rId11" xr:uid="{E1AFF3FB-1C65-4169-8AC3-97DCAA64B9AF}"/>
  </hyperlinks>
  <pageMargins left="0.7" right="0.7" top="0.75" bottom="0.75" header="0.3" footer="0.3"/>
  <pageSetup orientation="portrait" horizontalDpi="300" verticalDpi="300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2025-08-18T10:10:50Z</dcterms:created>
  <dcterms:modified xsi:type="dcterms:W3CDTF">2025-09-01T08:42:30Z</dcterms:modified>
</cp:coreProperties>
</file>