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3A79A8A-7DF9-4DDD-A240-6E3E75AC93AD}" xr6:coauthVersionLast="47" xr6:coauthVersionMax="47" xr10:uidLastSave="{00000000-0000-0000-0000-000000000000}"/>
  <bookViews>
    <workbookView xWindow="1005" yWindow="405" windowWidth="20745" windowHeight="14475" activeTab="1" xr2:uid="{5D9A434D-E4E6-481F-B630-FF215E7C1E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" l="1"/>
  <c r="G31" i="2"/>
  <c r="H31" i="2" s="1"/>
  <c r="I31" i="2" s="1"/>
  <c r="E31" i="2"/>
  <c r="F33" i="2"/>
  <c r="G33" i="2" s="1"/>
  <c r="H33" i="2" s="1"/>
  <c r="I33" i="2" s="1"/>
  <c r="E33" i="2"/>
  <c r="E5" i="2"/>
  <c r="F5" i="2" s="1"/>
  <c r="G5" i="2" s="1"/>
  <c r="H5" i="2" s="1"/>
  <c r="I5" i="2" s="1"/>
  <c r="E3" i="2"/>
  <c r="F3" i="2" s="1"/>
  <c r="G3" i="2" s="1"/>
  <c r="H3" i="2" s="1"/>
  <c r="I3" i="2" s="1"/>
  <c r="F4" i="2"/>
  <c r="G4" i="2" s="1"/>
  <c r="H4" i="2" s="1"/>
  <c r="I4" i="2" s="1"/>
  <c r="E4" i="2"/>
  <c r="E2" i="2"/>
  <c r="F2" i="2" s="1"/>
  <c r="C34" i="2"/>
  <c r="D34" i="2"/>
  <c r="B34" i="2"/>
  <c r="E7" i="1"/>
  <c r="D40" i="2"/>
  <c r="D38" i="2" s="1"/>
  <c r="E17" i="2" s="1"/>
  <c r="C15" i="2"/>
  <c r="D15" i="2"/>
  <c r="B15" i="2"/>
  <c r="C10" i="2"/>
  <c r="D10" i="2"/>
  <c r="B10" i="2"/>
  <c r="C6" i="2"/>
  <c r="C24" i="2" s="1"/>
  <c r="D6" i="2"/>
  <c r="D24" i="2" s="1"/>
  <c r="B6" i="2"/>
  <c r="B11" i="2" s="1"/>
  <c r="C1" i="2"/>
  <c r="D1" i="2" s="1"/>
  <c r="E1" i="2" s="1"/>
  <c r="F1" i="2" s="1"/>
  <c r="G1" i="2" s="1"/>
  <c r="H1" i="2" s="1"/>
  <c r="I1" i="2" s="1"/>
  <c r="D7" i="1"/>
  <c r="D5" i="1"/>
  <c r="D4" i="1"/>
  <c r="F6" i="2" l="1"/>
  <c r="G2" i="2"/>
  <c r="E6" i="2"/>
  <c r="B16" i="2"/>
  <c r="D11" i="2"/>
  <c r="D27" i="2" s="1"/>
  <c r="E27" i="2" s="1"/>
  <c r="F27" i="2" s="1"/>
  <c r="G27" i="2" s="1"/>
  <c r="H27" i="2" s="1"/>
  <c r="I27" i="2" s="1"/>
  <c r="C11" i="2"/>
  <c r="C29" i="2"/>
  <c r="B29" i="2"/>
  <c r="D29" i="2"/>
  <c r="C31" i="2"/>
  <c r="B31" i="2"/>
  <c r="D31" i="2"/>
  <c r="B27" i="2"/>
  <c r="D16" i="2"/>
  <c r="H2" i="2" l="1"/>
  <c r="G6" i="2"/>
  <c r="B18" i="2"/>
  <c r="B28" i="2"/>
  <c r="C16" i="2"/>
  <c r="C27" i="2"/>
  <c r="D28" i="2"/>
  <c r="D18" i="2"/>
  <c r="E24" i="2"/>
  <c r="E15" i="2" s="1"/>
  <c r="E32" i="2"/>
  <c r="E34" i="2" s="1"/>
  <c r="E10" i="2"/>
  <c r="E11" i="2" s="1"/>
  <c r="E16" i="2" s="1"/>
  <c r="I2" i="2" l="1"/>
  <c r="I6" i="2" s="1"/>
  <c r="H6" i="2"/>
  <c r="E29" i="2"/>
  <c r="B20" i="2"/>
  <c r="B22" i="2" s="1"/>
  <c r="B25" i="2"/>
  <c r="C18" i="2"/>
  <c r="C28" i="2"/>
  <c r="E18" i="2"/>
  <c r="E28" i="2"/>
  <c r="F32" i="2"/>
  <c r="F34" i="2" s="1"/>
  <c r="F29" i="2" s="1"/>
  <c r="F10" i="2"/>
  <c r="F11" i="2" s="1"/>
  <c r="F24" i="2"/>
  <c r="F15" i="2" s="1"/>
  <c r="D20" i="2"/>
  <c r="D22" i="2" s="1"/>
  <c r="D25" i="2"/>
  <c r="C20" i="2" l="1"/>
  <c r="C22" i="2" s="1"/>
  <c r="C25" i="2"/>
  <c r="F16" i="2"/>
  <c r="G10" i="2"/>
  <c r="G32" i="2"/>
  <c r="G34" i="2" s="1"/>
  <c r="G29" i="2" s="1"/>
  <c r="G24" i="2"/>
  <c r="G15" i="2" s="1"/>
  <c r="G11" i="2"/>
  <c r="E19" i="2"/>
  <c r="E20" i="2" s="1"/>
  <c r="E38" i="2" l="1"/>
  <c r="E22" i="2"/>
  <c r="D8" i="1" s="1"/>
  <c r="G16" i="2"/>
  <c r="G28" i="2" s="1"/>
  <c r="H10" i="2"/>
  <c r="H11" i="2" s="1"/>
  <c r="H32" i="2"/>
  <c r="H34" i="2" s="1"/>
  <c r="H29" i="2" s="1"/>
  <c r="H24" i="2"/>
  <c r="H15" i="2" s="1"/>
  <c r="F28" i="2"/>
  <c r="I10" i="2" l="1"/>
  <c r="I11" i="2" s="1"/>
  <c r="I32" i="2"/>
  <c r="I34" i="2" s="1"/>
  <c r="I24" i="2"/>
  <c r="I15" i="2" s="1"/>
  <c r="H16" i="2"/>
  <c r="H28" i="2" s="1"/>
  <c r="F17" i="2"/>
  <c r="F18" i="2" s="1"/>
  <c r="F19" i="2" s="1"/>
  <c r="F20" i="2" s="1"/>
  <c r="F22" i="2" s="1"/>
  <c r="I29" i="2" l="1"/>
  <c r="J34" i="2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F38" i="2"/>
  <c r="G17" i="2" s="1"/>
  <c r="G18" i="2" s="1"/>
  <c r="G19" i="2" s="1"/>
  <c r="G20" i="2" s="1"/>
  <c r="G22" i="2" s="1"/>
  <c r="I16" i="2"/>
  <c r="I28" i="2" s="1"/>
  <c r="G38" i="2" l="1"/>
  <c r="H17" i="2" s="1"/>
  <c r="H18" i="2" s="1"/>
  <c r="H19" i="2" s="1"/>
  <c r="H20" i="2" s="1"/>
  <c r="H22" i="2" s="1"/>
  <c r="L16" i="2"/>
  <c r="H38" i="2" l="1"/>
  <c r="I17" i="2" s="1"/>
  <c r="I18" i="2" s="1"/>
  <c r="I19" i="2" s="1"/>
  <c r="I20" i="2" s="1"/>
  <c r="I22" i="2"/>
  <c r="L17" i="2"/>
  <c r="L18" i="2" s="1"/>
  <c r="I38" i="2"/>
</calcChain>
</file>

<file path=xl/sharedStrings.xml><?xml version="1.0" encoding="utf-8"?>
<sst xmlns="http://schemas.openxmlformats.org/spreadsheetml/2006/main" count="46" uniqueCount="42">
  <si>
    <t>ORCL</t>
  </si>
  <si>
    <t>Price</t>
  </si>
  <si>
    <t>Shares</t>
  </si>
  <si>
    <t>MC</t>
  </si>
  <si>
    <t>Cash</t>
  </si>
  <si>
    <t>Debt</t>
  </si>
  <si>
    <t>EV</t>
  </si>
  <si>
    <t>Cloud Services</t>
  </si>
  <si>
    <t>Cloud License</t>
  </si>
  <si>
    <t>Hardware</t>
  </si>
  <si>
    <t>Services</t>
  </si>
  <si>
    <t>Revenue</t>
  </si>
  <si>
    <t>COGS</t>
  </si>
  <si>
    <t>Services COGS</t>
  </si>
  <si>
    <t>Hardware COGS</t>
  </si>
  <si>
    <t>Cloud Services COGS</t>
  </si>
  <si>
    <t>S&amp;M</t>
  </si>
  <si>
    <t>R&amp;D</t>
  </si>
  <si>
    <t>Gross Profit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</si>
  <si>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</si>
  <si>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</si>
  <si>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</si>
  <si>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</si>
  <si>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</si>
  <si>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</si>
  <si>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</si>
  <si>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</si>
  <si>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 xml:space="preserve">Revenue Growth </t>
  </si>
  <si>
    <t>Tax Rate</t>
  </si>
  <si>
    <t>Gross Margin</t>
  </si>
  <si>
    <t>Operating Margin</t>
  </si>
  <si>
    <t>CFFO</t>
  </si>
  <si>
    <t>CX</t>
  </si>
  <si>
    <t>FCF</t>
  </si>
  <si>
    <t>Net Cash</t>
  </si>
  <si>
    <t>PE</t>
  </si>
  <si>
    <t>NPV</t>
  </si>
  <si>
    <t>Maturity</t>
  </si>
  <si>
    <t>Discount</t>
  </si>
  <si>
    <t>ROIC</t>
  </si>
  <si>
    <t>Diff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</si>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</sst>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47625</xdr:rowOff>
    </xdr:from>
    <xdr:to>
      <xdr:col>4</xdr:col>
      <xdr:colOff>28575</xdr:colOff>
      <xdr:row>42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CF7884-FA0E-BDCE-0EEF-9EF66C5D9BF3}"/>
            </a:ext>
          </a:extLst>
        </xdr:cNvPr>
        <xdr:cNvCxnSpPr/>
      </xdr:nvCxnSpPr>
      <xdr:spPr>
        <a:xfrm>
          <a:off x="3057525" y="47625"/>
          <a:ext cx="47625" cy="7362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C872-FB29-47C6-A311-C860325B0B19}">
  <dimension ref="A1:E8"/>
  <sheetViews>
    <sheetView zoomScale="250" zoomScaleNormal="250" workbookViewId="0">
      <selection activeCell="D3" sqref="D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130</v>
      </c>
    </row>
    <row r="3" spans="1:5" x14ac:dyDescent="0.25">
      <c r="C3" t="s">
        <v>2</v>
      </c>
      <c r="D3" s="2">
        <v>2804.2339999999999</v>
      </c>
    </row>
    <row r="4" spans="1:5" x14ac:dyDescent="0.25">
      <c r="C4" t="s">
        <v>3</v>
      </c>
      <c r="D4" s="2">
        <f>D3*D2</f>
        <v>364550.42</v>
      </c>
    </row>
    <row r="5" spans="1:5" x14ac:dyDescent="0.25">
      <c r="C5" t="s">
        <v>4</v>
      </c>
      <c r="D5" s="2">
        <f>17406+417</f>
        <v>17823</v>
      </c>
    </row>
    <row r="6" spans="1:5" x14ac:dyDescent="0.25">
      <c r="C6" t="s">
        <v>5</v>
      </c>
      <c r="D6" s="2">
        <v>114494</v>
      </c>
    </row>
    <row r="7" spans="1:5" x14ac:dyDescent="0.25">
      <c r="C7" t="s">
        <v>6</v>
      </c>
      <c r="D7" s="2">
        <f>D4+D6-D5</f>
        <v>461221.42</v>
      </c>
      <c r="E7">
        <f>D7/D3</f>
        <v>164.47322869632134</v>
      </c>
    </row>
    <row r="8" spans="1:5" x14ac:dyDescent="0.25">
      <c r="C8" t="s">
        <v>35</v>
      </c>
      <c r="D8">
        <f>E7/Sheet2!E22</f>
        <v>34.034467018824976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A9F4-2AF1-472B-8827-371B927576BB}">
  <dimension ref="A1:CT42"/>
  <sheetViews>
    <sheetView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RowHeight="15" x14ac:dyDescent="0.25"/>
  <cols>
    <col min="1" max="1" width="18.7109375" style="2" customWidth="1"/>
    <col min="2" max="16384" width="9.140625" style="2"/>
  </cols>
  <sheetData>
    <row r="1" spans="1:12" x14ac:dyDescent="0.25">
      <c r="B1" s="5">
        <v>2022</v>
      </c>
      <c r="C1" s="5">
        <f>B1+1</f>
        <v>2023</v>
      </c>
      <c r="D1" s="5">
        <f t="shared" ref="D1:I1" si="0">C1+1</f>
        <v>2024</v>
      </c>
      <c r="E1" s="5">
        <f t="shared" si="0"/>
        <v>2025</v>
      </c>
      <c r="F1" s="5">
        <f t="shared" si="0"/>
        <v>2026</v>
      </c>
      <c r="G1" s="5">
        <f t="shared" si="0"/>
        <v>2027</v>
      </c>
      <c r="H1" s="5">
        <f t="shared" si="0"/>
        <v>2028</v>
      </c>
      <c r="I1" s="5">
        <f t="shared" si="0"/>
        <v>2029</v>
      </c>
    </row>
    <row r="2" spans="1:12" x14ac:dyDescent="0.25">
      <c r="A2" s="2" t="s">
        <v>7</v>
      </c>
      <c r="B2" s="2">
        <v>30174</v>
      </c>
      <c r="C2" s="2">
        <v>35307</v>
      </c>
      <c r="D2" s="2">
        <v>39383</v>
      </c>
      <c r="E2" s="2">
        <f>D2*1.2</f>
        <v>47259.6</v>
      </c>
      <c r="F2" s="2">
        <f t="shared" ref="F2:I2" si="1">E2*1.2</f>
        <v>56711.519999999997</v>
      </c>
      <c r="G2" s="2">
        <f t="shared" si="1"/>
        <v>68053.823999999993</v>
      </c>
      <c r="H2" s="2">
        <f t="shared" si="1"/>
        <v>81664.588799999983</v>
      </c>
      <c r="I2" s="2">
        <f t="shared" si="1"/>
        <v>97997.50655999998</v>
      </c>
    </row>
    <row r="3" spans="1:12" x14ac:dyDescent="0.25">
      <c r="A3" s="2" t="s">
        <v>8</v>
      </c>
      <c r="B3" s="2">
        <v>5878</v>
      </c>
      <c r="C3" s="2">
        <v>5779</v>
      </c>
      <c r="D3" s="2">
        <v>5081</v>
      </c>
      <c r="E3" s="2">
        <f>D3*1.03</f>
        <v>5233.43</v>
      </c>
      <c r="F3" s="2">
        <f t="shared" ref="F3:I3" si="2">E3*1.03</f>
        <v>5390.4329000000007</v>
      </c>
      <c r="G3" s="2">
        <f t="shared" si="2"/>
        <v>5552.1458870000006</v>
      </c>
      <c r="H3" s="2">
        <f t="shared" si="2"/>
        <v>5718.7102636100008</v>
      </c>
      <c r="I3" s="2">
        <f t="shared" si="2"/>
        <v>5890.2715715183012</v>
      </c>
    </row>
    <row r="4" spans="1:12" x14ac:dyDescent="0.25">
      <c r="A4" s="2" t="s">
        <v>9</v>
      </c>
      <c r="B4" s="2">
        <v>3183</v>
      </c>
      <c r="C4" s="2">
        <v>3274</v>
      </c>
      <c r="D4" s="2">
        <v>3066</v>
      </c>
      <c r="E4" s="2">
        <f>D4*1.03</f>
        <v>3157.98</v>
      </c>
      <c r="F4" s="2">
        <f t="shared" ref="F4:I4" si="3">E4*1.03</f>
        <v>3252.7194</v>
      </c>
      <c r="G4" s="2">
        <f t="shared" si="3"/>
        <v>3350.3009820000002</v>
      </c>
      <c r="H4" s="2">
        <f t="shared" si="3"/>
        <v>3450.8100114600002</v>
      </c>
      <c r="I4" s="2">
        <f t="shared" si="3"/>
        <v>3554.3343118038001</v>
      </c>
    </row>
    <row r="5" spans="1:12" x14ac:dyDescent="0.25">
      <c r="A5" s="2" t="s">
        <v>10</v>
      </c>
      <c r="B5" s="2">
        <v>3205</v>
      </c>
      <c r="C5" s="2">
        <v>5594</v>
      </c>
      <c r="D5" s="2">
        <v>5431</v>
      </c>
      <c r="E5" s="2">
        <f>D5*1.1</f>
        <v>5974.1</v>
      </c>
      <c r="F5" s="2">
        <f t="shared" ref="F5:I5" si="4">E5*1.1</f>
        <v>6571.5100000000011</v>
      </c>
      <c r="G5" s="2">
        <f t="shared" si="4"/>
        <v>7228.6610000000019</v>
      </c>
      <c r="H5" s="2">
        <f t="shared" si="4"/>
        <v>7951.527100000003</v>
      </c>
      <c r="I5" s="2">
        <f t="shared" si="4"/>
        <v>8746.6798100000033</v>
      </c>
    </row>
    <row r="6" spans="1:12" s="4" customFormat="1" x14ac:dyDescent="0.25">
      <c r="A6" s="4" t="s">
        <v>11</v>
      </c>
      <c r="B6" s="4">
        <f>SUM(B2:B5)</f>
        <v>42440</v>
      </c>
      <c r="C6" s="4">
        <f t="shared" ref="C6:D6" si="5">SUM(C2:C5)</f>
        <v>49954</v>
      </c>
      <c r="D6" s="4">
        <f t="shared" si="5"/>
        <v>52961</v>
      </c>
      <c r="E6" s="4">
        <f>SUM(E2:E5)</f>
        <v>61625.11</v>
      </c>
      <c r="F6" s="4">
        <f>SUM(F2:F5)</f>
        <v>71926.1823</v>
      </c>
      <c r="G6" s="4">
        <f t="shared" ref="G6:I6" si="6">SUM(G2:G5)</f>
        <v>84184.931869000007</v>
      </c>
      <c r="H6" s="4">
        <f t="shared" si="6"/>
        <v>98785.636175069987</v>
      </c>
      <c r="I6" s="4">
        <f t="shared" si="6"/>
        <v>116188.79225332208</v>
      </c>
    </row>
    <row r="7" spans="1:12" x14ac:dyDescent="0.25">
      <c r="A7" s="2" t="s">
        <v>15</v>
      </c>
      <c r="B7" s="2">
        <v>5213</v>
      </c>
      <c r="C7" s="2">
        <v>7763</v>
      </c>
      <c r="D7" s="2">
        <v>9427</v>
      </c>
    </row>
    <row r="8" spans="1:12" x14ac:dyDescent="0.25">
      <c r="A8" s="2" t="s">
        <v>14</v>
      </c>
      <c r="B8" s="2">
        <v>972</v>
      </c>
      <c r="C8" s="2">
        <v>1040</v>
      </c>
      <c r="D8" s="2">
        <v>891</v>
      </c>
    </row>
    <row r="9" spans="1:12" x14ac:dyDescent="0.25">
      <c r="A9" s="2" t="s">
        <v>13</v>
      </c>
      <c r="B9" s="2">
        <v>2692</v>
      </c>
      <c r="C9" s="2">
        <v>4761</v>
      </c>
      <c r="D9" s="2">
        <v>4825</v>
      </c>
    </row>
    <row r="10" spans="1:12" x14ac:dyDescent="0.25">
      <c r="A10" s="2" t="s">
        <v>12</v>
      </c>
      <c r="B10" s="2">
        <f>SUM(B7:B9)</f>
        <v>8877</v>
      </c>
      <c r="C10" s="2">
        <f t="shared" ref="C10:D10" si="7">SUM(C7:C9)</f>
        <v>13564</v>
      </c>
      <c r="D10" s="2">
        <f t="shared" si="7"/>
        <v>15143</v>
      </c>
      <c r="E10" s="2">
        <f>E6*(1-E27)</f>
        <v>17180.258239651823</v>
      </c>
      <c r="F10" s="2">
        <f t="shared" ref="F10:I10" si="8">F6*(1-F27)</f>
        <v>19533.318496407734</v>
      </c>
      <c r="G10" s="2">
        <f t="shared" si="8"/>
        <v>22249.258043802645</v>
      </c>
      <c r="H10" s="2">
        <f t="shared" si="8"/>
        <v>25381.306528794856</v>
      </c>
      <c r="I10" s="2">
        <f t="shared" si="8"/>
        <v>28989.394189244329</v>
      </c>
    </row>
    <row r="11" spans="1:12" x14ac:dyDescent="0.25">
      <c r="A11" s="2" t="s">
        <v>18</v>
      </c>
      <c r="B11" s="2">
        <f>B6-B10</f>
        <v>33563</v>
      </c>
      <c r="C11" s="2">
        <f t="shared" ref="C11:D11" si="9">C6-C10</f>
        <v>36390</v>
      </c>
      <c r="D11" s="2">
        <f t="shared" si="9"/>
        <v>37818</v>
      </c>
      <c r="E11" s="2">
        <f t="shared" ref="E11" si="10">E6-E10</f>
        <v>44444.851760348174</v>
      </c>
      <c r="F11" s="2">
        <f t="shared" ref="F11" si="11">F6-F10</f>
        <v>52392.863803592263</v>
      </c>
      <c r="G11" s="2">
        <f t="shared" ref="G11" si="12">G6-G10</f>
        <v>61935.673825197358</v>
      </c>
      <c r="H11" s="2">
        <f t="shared" ref="H11" si="13">H6-H10</f>
        <v>73404.329646275131</v>
      </c>
      <c r="I11" s="2">
        <f t="shared" ref="I11" si="14">I6-I10</f>
        <v>87199.398064077759</v>
      </c>
    </row>
    <row r="12" spans="1:12" x14ac:dyDescent="0.25">
      <c r="A12" s="2" t="s">
        <v>16</v>
      </c>
      <c r="B12" s="2">
        <v>8047</v>
      </c>
      <c r="C12" s="2">
        <v>8833</v>
      </c>
      <c r="D12" s="2">
        <v>8274</v>
      </c>
    </row>
    <row r="13" spans="1:12" x14ac:dyDescent="0.25">
      <c r="A13" s="2" t="s">
        <v>17</v>
      </c>
      <c r="B13" s="2">
        <v>7219</v>
      </c>
      <c r="C13" s="2">
        <v>8623</v>
      </c>
      <c r="D13" s="2">
        <v>8915</v>
      </c>
      <c r="K13" s="2" t="s">
        <v>39</v>
      </c>
      <c r="L13" s="6">
        <v>0.06</v>
      </c>
    </row>
    <row r="14" spans="1:12" x14ac:dyDescent="0.25">
      <c r="A14" s="2" t="s">
        <v>19</v>
      </c>
      <c r="B14" s="2">
        <v>1317</v>
      </c>
      <c r="C14" s="2">
        <v>1579</v>
      </c>
      <c r="D14" s="2">
        <v>1548</v>
      </c>
      <c r="K14" s="2" t="s">
        <v>37</v>
      </c>
      <c r="L14" s="6">
        <v>0.01</v>
      </c>
    </row>
    <row r="15" spans="1:12" x14ac:dyDescent="0.25">
      <c r="A15" s="2" t="s">
        <v>20</v>
      </c>
      <c r="B15" s="2">
        <f>SUM(B12:B14)</f>
        <v>16583</v>
      </c>
      <c r="C15" s="2">
        <f t="shared" ref="C15:D15" si="15">SUM(C12:C14)</f>
        <v>19035</v>
      </c>
      <c r="D15" s="2">
        <f t="shared" si="15"/>
        <v>18737</v>
      </c>
      <c r="E15" s="2">
        <f>D15*(1+E24)</f>
        <v>21802.263667038009</v>
      </c>
      <c r="F15" s="2">
        <f t="shared" ref="F15:I15" si="16">E15*(1+F24)</f>
        <v>25446.665994884912</v>
      </c>
      <c r="G15" s="2">
        <f t="shared" si="16"/>
        <v>29783.672295263554</v>
      </c>
      <c r="H15" s="2">
        <f t="shared" si="16"/>
        <v>34949.235569802047</v>
      </c>
      <c r="I15" s="2">
        <f t="shared" si="16"/>
        <v>41106.274436859123</v>
      </c>
      <c r="K15" s="2" t="s">
        <v>38</v>
      </c>
      <c r="L15" s="6">
        <v>0.08</v>
      </c>
    </row>
    <row r="16" spans="1:12" x14ac:dyDescent="0.25">
      <c r="A16" s="2" t="s">
        <v>21</v>
      </c>
      <c r="B16" s="2">
        <f>B11-B15</f>
        <v>16980</v>
      </c>
      <c r="C16" s="2">
        <f t="shared" ref="C16:I16" si="17">C11-C15</f>
        <v>17355</v>
      </c>
      <c r="D16" s="2">
        <f t="shared" si="17"/>
        <v>19081</v>
      </c>
      <c r="E16" s="2">
        <f t="shared" si="17"/>
        <v>22642.588093310165</v>
      </c>
      <c r="F16" s="2">
        <f t="shared" si="17"/>
        <v>26946.197808707351</v>
      </c>
      <c r="G16" s="2">
        <f t="shared" si="17"/>
        <v>32152.001529933805</v>
      </c>
      <c r="H16" s="2">
        <f t="shared" si="17"/>
        <v>38455.094076473084</v>
      </c>
      <c r="I16" s="2">
        <f t="shared" si="17"/>
        <v>46093.123627218636</v>
      </c>
      <c r="K16" s="2" t="s">
        <v>36</v>
      </c>
      <c r="L16" s="2">
        <f>NPV(L15,E34:XFD34)</f>
        <v>378388.96332399314</v>
      </c>
    </row>
    <row r="17" spans="1:12" x14ac:dyDescent="0.25">
      <c r="A17" s="2" t="s">
        <v>22</v>
      </c>
      <c r="B17" s="2">
        <v>-2755</v>
      </c>
      <c r="C17" s="2">
        <v>-3505</v>
      </c>
      <c r="D17" s="2">
        <v>-3514</v>
      </c>
      <c r="E17" s="2">
        <f>D38*$L$13</f>
        <v>-5800.26</v>
      </c>
      <c r="F17" s="2">
        <f t="shared" ref="F17:I17" si="18">E38*$L$13</f>
        <v>-4981.7228546651259</v>
      </c>
      <c r="G17" s="2">
        <f t="shared" si="18"/>
        <v>-3914.2493718986734</v>
      </c>
      <c r="H17" s="2">
        <f t="shared" si="18"/>
        <v>-2541.8946170181662</v>
      </c>
      <c r="I17" s="2">
        <f t="shared" si="18"/>
        <v>-796.5131232886572</v>
      </c>
      <c r="K17" s="2" t="s">
        <v>1</v>
      </c>
      <c r="L17" s="2">
        <f>L16/Sheet1!D3</f>
        <v>134.93487466594911</v>
      </c>
    </row>
    <row r="18" spans="1:12" x14ac:dyDescent="0.25">
      <c r="A18" s="2" t="s">
        <v>23</v>
      </c>
      <c r="B18" s="2">
        <f>B16+B17</f>
        <v>14225</v>
      </c>
      <c r="C18" s="2">
        <f t="shared" ref="C18:I18" si="19">C16+C17</f>
        <v>13850</v>
      </c>
      <c r="D18" s="2">
        <f t="shared" si="19"/>
        <v>15567</v>
      </c>
      <c r="E18" s="2">
        <f t="shared" si="19"/>
        <v>16842.328093310163</v>
      </c>
      <c r="F18" s="2">
        <f t="shared" si="19"/>
        <v>21964.474954042227</v>
      </c>
      <c r="G18" s="2">
        <f t="shared" si="19"/>
        <v>28237.752158035131</v>
      </c>
      <c r="H18" s="2">
        <f t="shared" si="19"/>
        <v>35913.199459454918</v>
      </c>
      <c r="I18" s="2">
        <f t="shared" si="19"/>
        <v>45296.61050392998</v>
      </c>
      <c r="K18" s="2" t="s">
        <v>40</v>
      </c>
      <c r="L18" s="6">
        <f>L17/Sheet1!D2-1</f>
        <v>3.796057435345479E-2</v>
      </c>
    </row>
    <row r="19" spans="1:12" x14ac:dyDescent="0.25">
      <c r="A19" s="2" t="s">
        <v>24</v>
      </c>
      <c r="B19" s="2">
        <v>932</v>
      </c>
      <c r="C19" s="2">
        <v>623</v>
      </c>
      <c r="D19" s="2">
        <v>1274</v>
      </c>
      <c r="E19" s="2">
        <f>E18*E25</f>
        <v>3200.0423377289312</v>
      </c>
      <c r="F19" s="2">
        <f t="shared" ref="F19:I19" si="20">F18*F25</f>
        <v>4173.2502412680233</v>
      </c>
      <c r="G19" s="2">
        <f t="shared" si="20"/>
        <v>5365.1729100266748</v>
      </c>
      <c r="H19" s="2">
        <f t="shared" si="20"/>
        <v>6823.5078972964347</v>
      </c>
      <c r="I19" s="2">
        <f t="shared" si="20"/>
        <v>8606.3559957466969</v>
      </c>
    </row>
    <row r="20" spans="1:12" s="4" customFormat="1" x14ac:dyDescent="0.25">
      <c r="A20" s="4" t="s">
        <v>25</v>
      </c>
      <c r="B20" s="4">
        <f>B18-B19</f>
        <v>13293</v>
      </c>
      <c r="C20" s="4">
        <f t="shared" ref="C20:I20" si="21">C18-C19</f>
        <v>13227</v>
      </c>
      <c r="D20" s="4">
        <f t="shared" si="21"/>
        <v>14293</v>
      </c>
      <c r="E20" s="4">
        <f t="shared" si="21"/>
        <v>13642.285755581232</v>
      </c>
      <c r="F20" s="4">
        <f t="shared" si="21"/>
        <v>17791.224712774205</v>
      </c>
      <c r="G20" s="4">
        <f t="shared" si="21"/>
        <v>22872.579248008456</v>
      </c>
      <c r="H20" s="4">
        <f t="shared" si="21"/>
        <v>29089.691562158485</v>
      </c>
      <c r="I20" s="4">
        <f t="shared" si="21"/>
        <v>36690.25450818328</v>
      </c>
    </row>
    <row r="21" spans="1:12" x14ac:dyDescent="0.25">
      <c r="A21" s="2" t="s">
        <v>2</v>
      </c>
      <c r="B21" s="2">
        <v>2786</v>
      </c>
      <c r="C21" s="2">
        <v>2766</v>
      </c>
      <c r="D21" s="2">
        <v>2823</v>
      </c>
      <c r="E21" s="2">
        <v>2823</v>
      </c>
      <c r="F21" s="2">
        <v>2823</v>
      </c>
      <c r="G21" s="2">
        <v>2823</v>
      </c>
      <c r="H21" s="2">
        <v>2823</v>
      </c>
      <c r="I21" s="2">
        <v>2823</v>
      </c>
    </row>
    <row r="22" spans="1:12" x14ac:dyDescent="0.25">
      <c r="A22" s="2" t="s">
        <v>26</v>
      </c>
      <c r="B22" s="7">
        <f>B20/B21</f>
        <v>4.7713567839195976</v>
      </c>
      <c r="C22" s="7">
        <f t="shared" ref="C22:I22" si="22">C20/C21</f>
        <v>4.7819956616052064</v>
      </c>
      <c r="D22" s="7">
        <f t="shared" si="22"/>
        <v>5.0630534891958909</v>
      </c>
      <c r="E22" s="7">
        <f t="shared" si="22"/>
        <v>4.8325489747011092</v>
      </c>
      <c r="F22" s="7">
        <f t="shared" si="22"/>
        <v>6.3022404225200868</v>
      </c>
      <c r="G22" s="7">
        <f t="shared" si="22"/>
        <v>8.1022243173958408</v>
      </c>
      <c r="H22" s="7">
        <f t="shared" si="22"/>
        <v>10.304531194530105</v>
      </c>
      <c r="I22" s="7">
        <f t="shared" si="22"/>
        <v>12.996902057450683</v>
      </c>
    </row>
    <row r="24" spans="1:12" s="4" customFormat="1" x14ac:dyDescent="0.25">
      <c r="A24" s="4" t="s">
        <v>27</v>
      </c>
      <c r="C24" s="3">
        <f>C6/B6-1</f>
        <v>0.17704995287464653</v>
      </c>
      <c r="D24" s="3">
        <f>D6/C6-1</f>
        <v>6.0195379749369504E-2</v>
      </c>
      <c r="E24" s="3">
        <f t="shared" ref="E24:I24" si="23">E6/D6-1</f>
        <v>0.16359415418893142</v>
      </c>
      <c r="F24" s="3">
        <f t="shared" si="23"/>
        <v>0.16715706146406872</v>
      </c>
      <c r="G24" s="3">
        <f t="shared" si="23"/>
        <v>0.17043514860651809</v>
      </c>
      <c r="H24" s="3">
        <f t="shared" si="23"/>
        <v>0.17343607676478379</v>
      </c>
      <c r="I24" s="3">
        <f t="shared" si="23"/>
        <v>0.17617091666454288</v>
      </c>
    </row>
    <row r="25" spans="1:12" x14ac:dyDescent="0.25">
      <c r="A25" s="2" t="s">
        <v>28</v>
      </c>
      <c r="B25" s="6">
        <f>B19/B18</f>
        <v>6.5518453427065027E-2</v>
      </c>
      <c r="C25" s="6">
        <f t="shared" ref="C25:D25" si="24">C19/C18</f>
        <v>4.4981949458483751E-2</v>
      </c>
      <c r="D25" s="6">
        <f t="shared" si="24"/>
        <v>8.1839789297873708E-2</v>
      </c>
      <c r="E25" s="6">
        <v>0.19</v>
      </c>
      <c r="F25" s="6">
        <v>0.19</v>
      </c>
      <c r="G25" s="6">
        <v>0.19</v>
      </c>
      <c r="H25" s="6">
        <v>0.19</v>
      </c>
      <c r="I25" s="6">
        <v>0.19</v>
      </c>
    </row>
    <row r="27" spans="1:12" s="4" customFormat="1" x14ac:dyDescent="0.25">
      <c r="A27" s="4" t="s">
        <v>29</v>
      </c>
      <c r="B27" s="3">
        <f>B11/B6</f>
        <v>0.79083411875589071</v>
      </c>
      <c r="C27" s="3">
        <f t="shared" ref="C27:D27" si="25">C11/C6</f>
        <v>0.72847019257717105</v>
      </c>
      <c r="D27" s="3">
        <f t="shared" si="25"/>
        <v>0.71407261947470779</v>
      </c>
      <c r="E27" s="3">
        <f>D27*1.01</f>
        <v>0.72121334566945483</v>
      </c>
      <c r="F27" s="3">
        <f t="shared" ref="F27:I27" si="26">E27*1.01</f>
        <v>0.72842547912614941</v>
      </c>
      <c r="G27" s="3">
        <f t="shared" si="26"/>
        <v>0.7357097339174109</v>
      </c>
      <c r="H27" s="3">
        <f t="shared" si="26"/>
        <v>0.74306683125658501</v>
      </c>
      <c r="I27" s="3">
        <f t="shared" si="26"/>
        <v>0.75049749956915091</v>
      </c>
    </row>
    <row r="28" spans="1:12" x14ac:dyDescent="0.25">
      <c r="A28" s="2" t="s">
        <v>30</v>
      </c>
      <c r="B28" s="6">
        <f>B16/B6</f>
        <v>0.40009425070688032</v>
      </c>
      <c r="C28" s="6">
        <f t="shared" ref="C28:I28" si="27">C16/C6</f>
        <v>0.34741962605597149</v>
      </c>
      <c r="D28" s="6">
        <f t="shared" si="27"/>
        <v>0.36028398255319954</v>
      </c>
      <c r="E28" s="6">
        <f t="shared" si="27"/>
        <v>0.36742470874794647</v>
      </c>
      <c r="F28" s="6">
        <f t="shared" si="27"/>
        <v>0.37463684220464111</v>
      </c>
      <c r="G28" s="6">
        <f t="shared" si="27"/>
        <v>0.3819210969959026</v>
      </c>
      <c r="H28" s="6">
        <f t="shared" si="27"/>
        <v>0.38927819433507677</v>
      </c>
      <c r="I28" s="6">
        <f t="shared" si="27"/>
        <v>0.39670886264764266</v>
      </c>
    </row>
    <row r="29" spans="1:12" x14ac:dyDescent="0.25">
      <c r="A29" s="2" t="s">
        <v>41</v>
      </c>
      <c r="B29" s="6">
        <f>B34/B6</f>
        <v>0.11847313854853911</v>
      </c>
      <c r="C29" s="6">
        <f>C34/C6</f>
        <v>0.16955599151219122</v>
      </c>
      <c r="D29" s="6">
        <f>D34/D6</f>
        <v>0.22293763335284456</v>
      </c>
      <c r="E29" s="6">
        <f>E34/E6</f>
        <v>0.22998923736334287</v>
      </c>
      <c r="F29" s="6">
        <f>F34/F6</f>
        <v>0.23718187345405112</v>
      </c>
      <c r="G29" s="6">
        <f>G34/G6</f>
        <v>0.24451836226657353</v>
      </c>
      <c r="H29" s="6">
        <f>H34/H6</f>
        <v>0.25200158085534635</v>
      </c>
      <c r="I29" s="6">
        <f>I34/I6</f>
        <v>0.25963446381589478</v>
      </c>
    </row>
    <row r="30" spans="1:12" x14ac:dyDescent="0.25">
      <c r="B30" s="6"/>
      <c r="C30" s="6"/>
      <c r="D30" s="6"/>
      <c r="E30" s="6"/>
      <c r="F30" s="6"/>
      <c r="G30" s="6"/>
      <c r="H30" s="6"/>
      <c r="I30" s="6"/>
    </row>
    <row r="31" spans="1:12" x14ac:dyDescent="0.25">
      <c r="B31" s="6">
        <f>B32/B6</f>
        <v>0.22476437323279924</v>
      </c>
      <c r="C31" s="6">
        <f>C32/C6</f>
        <v>0.34361612683668974</v>
      </c>
      <c r="D31" s="6">
        <f>D32/D6</f>
        <v>0.35258020052491457</v>
      </c>
      <c r="E31" s="6">
        <f>D31*1.02</f>
        <v>0.35963180453541288</v>
      </c>
      <c r="F31" s="6">
        <f t="shared" ref="F31:I31" si="28">E31*1.02</f>
        <v>0.36682444062612113</v>
      </c>
      <c r="G31" s="6">
        <f t="shared" si="28"/>
        <v>0.37416092943864354</v>
      </c>
      <c r="H31" s="6">
        <f t="shared" si="28"/>
        <v>0.38164414802741642</v>
      </c>
      <c r="I31" s="6">
        <f t="shared" si="28"/>
        <v>0.38927703098796473</v>
      </c>
    </row>
    <row r="32" spans="1:12" x14ac:dyDescent="0.25">
      <c r="A32" s="2" t="s">
        <v>31</v>
      </c>
      <c r="B32" s="2">
        <v>9539</v>
      </c>
      <c r="C32" s="2">
        <v>17165</v>
      </c>
      <c r="D32" s="2">
        <v>18673</v>
      </c>
      <c r="E32" s="2">
        <f>E31*E6</f>
        <v>22162.349513993318</v>
      </c>
      <c r="F32" s="2">
        <f t="shared" ref="F32:I32" si="29">F31*F6</f>
        <v>26384.281588569913</v>
      </c>
      <c r="G32" s="2">
        <f t="shared" si="29"/>
        <v>31498.712352833925</v>
      </c>
      <c r="H32" s="2">
        <f t="shared" si="29"/>
        <v>37700.959955380909</v>
      </c>
      <c r="I32" s="2">
        <f t="shared" si="29"/>
        <v>45229.628082450661</v>
      </c>
    </row>
    <row r="33" spans="1:98" x14ac:dyDescent="0.25">
      <c r="A33" s="2" t="s">
        <v>32</v>
      </c>
      <c r="B33" s="2">
        <v>4511</v>
      </c>
      <c r="C33" s="2">
        <v>8695</v>
      </c>
      <c r="D33" s="2">
        <v>6866</v>
      </c>
      <c r="E33" s="2">
        <f>D33*(1+E24)</f>
        <v>7989.2374626612027</v>
      </c>
      <c r="F33" s="2">
        <f t="shared" ref="F33:I33" si="30">E33*(1+F24)</f>
        <v>9324.6949202583019</v>
      </c>
      <c r="G33" s="2">
        <f t="shared" si="30"/>
        <v>10913.95068470297</v>
      </c>
      <c r="H33" s="2">
        <f t="shared" si="30"/>
        <v>12806.823473462178</v>
      </c>
      <c r="I33" s="2">
        <f t="shared" si="30"/>
        <v>15063.013304342996</v>
      </c>
    </row>
    <row r="34" spans="1:98" s="4" customFormat="1" x14ac:dyDescent="0.25">
      <c r="A34" s="4" t="s">
        <v>33</v>
      </c>
      <c r="B34" s="4">
        <f>B32-B33</f>
        <v>5028</v>
      </c>
      <c r="C34" s="4">
        <f t="shared" ref="C34:D34" si="31">C32-C33</f>
        <v>8470</v>
      </c>
      <c r="D34" s="4">
        <f t="shared" si="31"/>
        <v>11807</v>
      </c>
      <c r="E34" s="4">
        <f t="shared" ref="E34" si="32">E32-E33</f>
        <v>14173.112051332115</v>
      </c>
      <c r="F34" s="4">
        <f t="shared" ref="F34" si="33">F32-F33</f>
        <v>17059.586668311611</v>
      </c>
      <c r="G34" s="4">
        <f t="shared" ref="G34" si="34">G32-G33</f>
        <v>20584.761668130956</v>
      </c>
      <c r="H34" s="4">
        <f t="shared" ref="H34" si="35">H32-H33</f>
        <v>24894.136481918729</v>
      </c>
      <c r="I34" s="4">
        <f t="shared" ref="I34" si="36">I32-I33</f>
        <v>30166.614778107665</v>
      </c>
      <c r="J34" s="4">
        <f>I34*(1+$L$14)</f>
        <v>30468.280925888743</v>
      </c>
      <c r="K34" s="4">
        <f t="shared" ref="K34:BV34" si="37">J34*(1+$L$14)</f>
        <v>30772.96373514763</v>
      </c>
      <c r="L34" s="4">
        <f t="shared" si="37"/>
        <v>31080.693372499107</v>
      </c>
      <c r="M34" s="4">
        <f t="shared" si="37"/>
        <v>31391.500306224098</v>
      </c>
      <c r="N34" s="4">
        <f t="shared" si="37"/>
        <v>31705.415309286338</v>
      </c>
      <c r="O34" s="4">
        <f t="shared" si="37"/>
        <v>32022.469462379202</v>
      </c>
      <c r="P34" s="4">
        <f t="shared" si="37"/>
        <v>32342.694157002996</v>
      </c>
      <c r="Q34" s="4">
        <f t="shared" si="37"/>
        <v>32666.121098573025</v>
      </c>
      <c r="R34" s="4">
        <f t="shared" si="37"/>
        <v>32992.782309558752</v>
      </c>
      <c r="S34" s="4">
        <f t="shared" si="37"/>
        <v>33322.710132654342</v>
      </c>
      <c r="T34" s="4">
        <f t="shared" si="37"/>
        <v>33655.937233980883</v>
      </c>
      <c r="U34" s="4">
        <f t="shared" si="37"/>
        <v>33992.496606320696</v>
      </c>
      <c r="V34" s="4">
        <f t="shared" si="37"/>
        <v>34332.421572383901</v>
      </c>
      <c r="W34" s="4">
        <f t="shared" si="37"/>
        <v>34675.745788107743</v>
      </c>
      <c r="X34" s="4">
        <f t="shared" si="37"/>
        <v>35022.503245988817</v>
      </c>
      <c r="Y34" s="4">
        <f t="shared" si="37"/>
        <v>35372.728278448703</v>
      </c>
      <c r="Z34" s="4">
        <f t="shared" si="37"/>
        <v>35726.45556123319</v>
      </c>
      <c r="AA34" s="4">
        <f t="shared" si="37"/>
        <v>36083.720116845521</v>
      </c>
      <c r="AB34" s="4">
        <f t="shared" si="37"/>
        <v>36444.557318013976</v>
      </c>
      <c r="AC34" s="4">
        <f t="shared" si="37"/>
        <v>36809.002891194119</v>
      </c>
      <c r="AD34" s="4">
        <f t="shared" si="37"/>
        <v>37177.092920106057</v>
      </c>
      <c r="AE34" s="4">
        <f t="shared" si="37"/>
        <v>37548.863849307119</v>
      </c>
      <c r="AF34" s="4">
        <f t="shared" si="37"/>
        <v>37924.352487800192</v>
      </c>
      <c r="AG34" s="4">
        <f t="shared" si="37"/>
        <v>38303.596012678194</v>
      </c>
      <c r="AH34" s="4">
        <f t="shared" si="37"/>
        <v>38686.631972804978</v>
      </c>
      <c r="AI34" s="4">
        <f t="shared" si="37"/>
        <v>39073.498292533026</v>
      </c>
      <c r="AJ34" s="4">
        <f t="shared" si="37"/>
        <v>39464.233275458355</v>
      </c>
      <c r="AK34" s="4">
        <f t="shared" si="37"/>
        <v>39858.87560821294</v>
      </c>
      <c r="AL34" s="4">
        <f t="shared" si="37"/>
        <v>40257.464364295069</v>
      </c>
      <c r="AM34" s="4">
        <f t="shared" si="37"/>
        <v>40660.039007938023</v>
      </c>
      <c r="AN34" s="4">
        <f t="shared" si="37"/>
        <v>41066.639398017403</v>
      </c>
      <c r="AO34" s="4">
        <f t="shared" si="37"/>
        <v>41477.305791997576</v>
      </c>
      <c r="AP34" s="4">
        <f t="shared" si="37"/>
        <v>41892.078849917554</v>
      </c>
      <c r="AQ34" s="4">
        <f t="shared" si="37"/>
        <v>42310.999638416732</v>
      </c>
      <c r="AR34" s="4">
        <f t="shared" si="37"/>
        <v>42734.109634800901</v>
      </c>
      <c r="AS34" s="4">
        <f t="shared" si="37"/>
        <v>43161.450731148914</v>
      </c>
      <c r="AT34" s="4">
        <f t="shared" si="37"/>
        <v>43593.065238460404</v>
      </c>
      <c r="AU34" s="4">
        <f t="shared" si="37"/>
        <v>44028.995890845006</v>
      </c>
      <c r="AV34" s="4">
        <f t="shared" si="37"/>
        <v>44469.285849753454</v>
      </c>
      <c r="AW34" s="4">
        <f t="shared" si="37"/>
        <v>44913.978708250987</v>
      </c>
      <c r="AX34" s="4">
        <f t="shared" si="37"/>
        <v>45363.118495333496</v>
      </c>
      <c r="AY34" s="4">
        <f t="shared" si="37"/>
        <v>45816.749680286834</v>
      </c>
      <c r="AZ34" s="4">
        <f t="shared" si="37"/>
        <v>46274.917177089701</v>
      </c>
      <c r="BA34" s="4">
        <f t="shared" si="37"/>
        <v>46737.666348860599</v>
      </c>
      <c r="BB34" s="4">
        <f t="shared" si="37"/>
        <v>47205.043012349204</v>
      </c>
      <c r="BC34" s="4">
        <f t="shared" si="37"/>
        <v>47677.093442472695</v>
      </c>
      <c r="BD34" s="4">
        <f t="shared" si="37"/>
        <v>48153.864376897422</v>
      </c>
      <c r="BE34" s="4">
        <f t="shared" si="37"/>
        <v>48635.403020666396</v>
      </c>
      <c r="BF34" s="4">
        <f t="shared" si="37"/>
        <v>49121.757050873057</v>
      </c>
      <c r="BG34" s="4">
        <f t="shared" si="37"/>
        <v>49612.974621381785</v>
      </c>
      <c r="BH34" s="4">
        <f t="shared" si="37"/>
        <v>50109.104367595603</v>
      </c>
      <c r="BI34" s="4">
        <f t="shared" si="37"/>
        <v>50610.195411271561</v>
      </c>
      <c r="BJ34" s="4">
        <f t="shared" si="37"/>
        <v>51116.297365384278</v>
      </c>
      <c r="BK34" s="4">
        <f t="shared" si="37"/>
        <v>51627.460339038123</v>
      </c>
      <c r="BL34" s="4">
        <f t="shared" si="37"/>
        <v>52143.734942428506</v>
      </c>
      <c r="BM34" s="4">
        <f t="shared" si="37"/>
        <v>52665.172291852788</v>
      </c>
      <c r="BN34" s="4">
        <f t="shared" si="37"/>
        <v>53191.824014771315</v>
      </c>
      <c r="BO34" s="4">
        <f t="shared" si="37"/>
        <v>53723.742254919031</v>
      </c>
      <c r="BP34" s="4">
        <f t="shared" si="37"/>
        <v>54260.979677468218</v>
      </c>
      <c r="BQ34" s="4">
        <f t="shared" si="37"/>
        <v>54803.589474242901</v>
      </c>
      <c r="BR34" s="4">
        <f t="shared" si="37"/>
        <v>55351.625368985333</v>
      </c>
      <c r="BS34" s="4">
        <f t="shared" si="37"/>
        <v>55905.14162267519</v>
      </c>
      <c r="BT34" s="4">
        <f t="shared" si="37"/>
        <v>56464.19303890194</v>
      </c>
      <c r="BU34" s="4">
        <f t="shared" si="37"/>
        <v>57028.834969290961</v>
      </c>
      <c r="BV34" s="4">
        <f t="shared" si="37"/>
        <v>57599.123318983875</v>
      </c>
      <c r="BW34" s="4">
        <f t="shared" ref="BW34:CT34" si="38">BV34*(1+$L$14)</f>
        <v>58175.114552173713</v>
      </c>
      <c r="BX34" s="4">
        <f t="shared" si="38"/>
        <v>58756.865697695452</v>
      </c>
      <c r="BY34" s="4">
        <f t="shared" si="38"/>
        <v>59344.434354672405</v>
      </c>
      <c r="BZ34" s="4">
        <f t="shared" si="38"/>
        <v>59937.87869821913</v>
      </c>
      <c r="CA34" s="4">
        <f t="shared" si="38"/>
        <v>60537.25748520132</v>
      </c>
      <c r="CB34" s="4">
        <f t="shared" si="38"/>
        <v>61142.630060053336</v>
      </c>
      <c r="CC34" s="4">
        <f t="shared" si="38"/>
        <v>61754.056360653871</v>
      </c>
      <c r="CD34" s="4">
        <f t="shared" si="38"/>
        <v>62371.596924260411</v>
      </c>
      <c r="CE34" s="4">
        <f t="shared" si="38"/>
        <v>62995.312893503018</v>
      </c>
      <c r="CF34" s="4">
        <f t="shared" si="38"/>
        <v>63625.266022438052</v>
      </c>
      <c r="CG34" s="4">
        <f t="shared" si="38"/>
        <v>64261.518682662434</v>
      </c>
      <c r="CH34" s="4">
        <f t="shared" si="38"/>
        <v>64904.133869489058</v>
      </c>
      <c r="CI34" s="4">
        <f t="shared" si="38"/>
        <v>65553.175208183951</v>
      </c>
      <c r="CJ34" s="4">
        <f t="shared" si="38"/>
        <v>66208.706960265787</v>
      </c>
      <c r="CK34" s="4">
        <f t="shared" si="38"/>
        <v>66870.794029868441</v>
      </c>
      <c r="CL34" s="4">
        <f t="shared" si="38"/>
        <v>67539.501970167126</v>
      </c>
      <c r="CM34" s="4">
        <f t="shared" si="38"/>
        <v>68214.896989868794</v>
      </c>
      <c r="CN34" s="4">
        <f t="shared" si="38"/>
        <v>68897.045959767478</v>
      </c>
      <c r="CO34" s="4">
        <f t="shared" si="38"/>
        <v>69586.016419365158</v>
      </c>
      <c r="CP34" s="4">
        <f t="shared" si="38"/>
        <v>70281.876583558813</v>
      </c>
      <c r="CQ34" s="4">
        <f t="shared" si="38"/>
        <v>70984.695349394402</v>
      </c>
      <c r="CR34" s="4">
        <f t="shared" si="38"/>
        <v>71694.542302888352</v>
      </c>
      <c r="CS34" s="4">
        <f t="shared" si="38"/>
        <v>72411.487725917235</v>
      </c>
      <c r="CT34" s="4">
        <f t="shared" si="38"/>
        <v>73135.602603176405</v>
      </c>
    </row>
    <row r="36" spans="1:98" x14ac:dyDescent="0.25">
      <c r="B36" s="6"/>
      <c r="C36" s="6"/>
      <c r="D36" s="6"/>
      <c r="E36" s="6"/>
      <c r="F36" s="6"/>
      <c r="G36" s="6"/>
      <c r="H36" s="6"/>
      <c r="I36" s="6"/>
    </row>
    <row r="37" spans="1:98" x14ac:dyDescent="0.25">
      <c r="B37" s="6"/>
      <c r="C37" s="6"/>
      <c r="D37" s="6"/>
      <c r="E37" s="6"/>
      <c r="F37" s="6"/>
      <c r="G37" s="6"/>
      <c r="H37" s="6"/>
      <c r="I37" s="6"/>
    </row>
    <row r="38" spans="1:98" x14ac:dyDescent="0.25">
      <c r="A38" s="2" t="s">
        <v>34</v>
      </c>
      <c r="D38" s="2">
        <f>D40-D42</f>
        <v>-96671</v>
      </c>
      <c r="E38" s="2">
        <f>D38+E20</f>
        <v>-83028.714244418763</v>
      </c>
      <c r="F38" s="2">
        <f t="shared" ref="F38:I38" si="39">E38+F20</f>
        <v>-65237.489531644562</v>
      </c>
      <c r="G38" s="2">
        <f t="shared" si="39"/>
        <v>-42364.910283636105</v>
      </c>
      <c r="H38" s="2">
        <f t="shared" si="39"/>
        <v>-13275.21872147762</v>
      </c>
      <c r="I38" s="2">
        <f t="shared" si="39"/>
        <v>23415.035786705659</v>
      </c>
    </row>
    <row r="39" spans="1:98" x14ac:dyDescent="0.25">
      <c r="B39" s="6"/>
      <c r="C39" s="6"/>
      <c r="D39" s="6"/>
    </row>
    <row r="40" spans="1:98" x14ac:dyDescent="0.25">
      <c r="A40" s="2" t="s">
        <v>4</v>
      </c>
      <c r="D40" s="2">
        <f>17406+417</f>
        <v>17823</v>
      </c>
    </row>
    <row r="42" spans="1:98" x14ac:dyDescent="0.25">
      <c r="A42" s="2" t="s">
        <v>5</v>
      </c>
      <c r="D42" s="2">
        <v>114494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2025-04-15T21:55:38Z</dcterms:created>
  <dcterms:modified xsi:type="dcterms:W3CDTF">2025-04-28T20:29:06Z</dcterms:modified>
</cp:coreProperties>
</file>