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99F8CE95-CBB6-4224-9FCF-27D95C7FBA26}" xr6:coauthVersionLast="47" xr6:coauthVersionMax="47" xr10:uidLastSave="{00000000-0000-0000-0000-000000000000}"/>
  <bookViews>
    <workbookView xWindow="1005" yWindow="405" windowWidth="20745" windowHeight="14475" activeTab="1" xr2:uid="{993E1CB9-6C29-4F74-831D-210C447B6F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L5" i="2"/>
  <c r="M5" i="2"/>
  <c r="N5" i="2"/>
  <c r="O5" i="2" s="1"/>
  <c r="K5" i="2"/>
  <c r="L4" i="2"/>
  <c r="M4" i="2" s="1"/>
  <c r="N4" i="2" s="1"/>
  <c r="O4" i="2" s="1"/>
  <c r="K4" i="2"/>
  <c r="L2" i="2"/>
  <c r="M2" i="2" s="1"/>
  <c r="N2" i="2" s="1"/>
  <c r="O2" i="2" s="1"/>
  <c r="K2" i="2"/>
  <c r="K3" i="2"/>
  <c r="L3" i="2"/>
  <c r="M3" i="2"/>
  <c r="N3" i="2" s="1"/>
  <c r="O3" i="2" s="1"/>
  <c r="L20" i="2"/>
  <c r="M20" i="2" s="1"/>
  <c r="N20" i="2" s="1"/>
  <c r="O20" i="2" s="1"/>
  <c r="K20" i="2"/>
  <c r="L19" i="2"/>
  <c r="M19" i="2"/>
  <c r="N19" i="2"/>
  <c r="O19" i="2"/>
  <c r="K19" i="2"/>
  <c r="L18" i="2"/>
  <c r="M18" i="2"/>
  <c r="N18" i="2"/>
  <c r="O18" i="2"/>
  <c r="K18" i="2"/>
  <c r="L17" i="2"/>
  <c r="M17" i="2"/>
  <c r="N17" i="2"/>
  <c r="O17" i="2" s="1"/>
  <c r="K17" i="2"/>
  <c r="L16" i="2"/>
  <c r="M16" i="2" s="1"/>
  <c r="N16" i="2" s="1"/>
  <c r="O16" i="2" s="1"/>
  <c r="K16" i="2"/>
  <c r="J30" i="2"/>
  <c r="K10" i="2"/>
  <c r="L46" i="2"/>
  <c r="J46" i="2"/>
  <c r="J47" i="2"/>
  <c r="J48" i="2"/>
  <c r="K48" i="2"/>
  <c r="K47" i="2"/>
  <c r="K9" i="2" s="1"/>
  <c r="K46" i="2"/>
  <c r="K8" i="2" s="1"/>
  <c r="J45" i="2"/>
  <c r="K45" i="2"/>
  <c r="K7" i="2" s="1"/>
  <c r="L45" i="2"/>
  <c r="L47" i="2"/>
  <c r="K6" i="2"/>
  <c r="I24" i="2"/>
  <c r="J15" i="2"/>
  <c r="I15" i="2"/>
  <c r="H12" i="2"/>
  <c r="H21" i="2"/>
  <c r="H22" i="2"/>
  <c r="H26" i="2"/>
  <c r="H27" i="2"/>
  <c r="I26" i="2"/>
  <c r="I27" i="2" s="1"/>
  <c r="I21" i="2"/>
  <c r="I22" i="2" s="1"/>
  <c r="I12" i="2"/>
  <c r="O28" i="2"/>
  <c r="N28" i="2"/>
  <c r="M28" i="2"/>
  <c r="L28" i="2"/>
  <c r="K28" i="2"/>
  <c r="J26" i="2"/>
  <c r="J27" i="2" s="1"/>
  <c r="J24" i="2"/>
  <c r="J22" i="2"/>
  <c r="J21" i="2"/>
  <c r="J6" i="2"/>
  <c r="J12" i="2"/>
  <c r="H3" i="1"/>
  <c r="H6" i="1"/>
  <c r="H5" i="1"/>
  <c r="H8" i="1"/>
  <c r="H31" i="2"/>
  <c r="H43" i="2" s="1"/>
  <c r="I34" i="2"/>
  <c r="H30" i="2"/>
  <c r="I30" i="2"/>
  <c r="J34" i="2"/>
  <c r="J1" i="2"/>
  <c r="K1" i="2" s="1"/>
  <c r="L1" i="2" s="1"/>
  <c r="M1" i="2" s="1"/>
  <c r="N1" i="2" s="1"/>
  <c r="O1" i="2" s="1"/>
  <c r="H11" i="1"/>
  <c r="H12" i="1" s="1"/>
  <c r="H4" i="1"/>
  <c r="H7" i="1" s="1"/>
  <c r="H9" i="1" s="1"/>
  <c r="L48" i="2" l="1"/>
  <c r="L10" i="2"/>
  <c r="M48" i="2"/>
  <c r="M10" i="2"/>
  <c r="L9" i="2"/>
  <c r="N47" i="2"/>
  <c r="O47" i="2"/>
  <c r="M47" i="2"/>
  <c r="L7" i="2"/>
  <c r="L8" i="2"/>
  <c r="M46" i="2"/>
  <c r="L21" i="2"/>
  <c r="K21" i="2"/>
  <c r="L6" i="2"/>
  <c r="L34" i="2" s="1"/>
  <c r="M6" i="2"/>
  <c r="I31" i="2"/>
  <c r="J31" i="2"/>
  <c r="J43" i="2" s="1"/>
  <c r="O21" i="2"/>
  <c r="N21" i="2"/>
  <c r="I43" i="2"/>
  <c r="K34" i="2"/>
  <c r="I10" i="1"/>
  <c r="I11" i="1"/>
  <c r="I12" i="1"/>
  <c r="O48" i="2" l="1"/>
  <c r="N48" i="2"/>
  <c r="N10" i="2" s="1"/>
  <c r="O10" i="2" s="1"/>
  <c r="M9" i="2"/>
  <c r="N9" i="2" s="1"/>
  <c r="O9" i="2" s="1"/>
  <c r="M45" i="2"/>
  <c r="M7" i="2" s="1"/>
  <c r="M8" i="2"/>
  <c r="N46" i="2"/>
  <c r="O46" i="2"/>
  <c r="K11" i="2"/>
  <c r="M21" i="2"/>
  <c r="N6" i="2"/>
  <c r="N45" i="2" l="1"/>
  <c r="N7" i="2"/>
  <c r="L11" i="2"/>
  <c r="K12" i="2"/>
  <c r="N8" i="2"/>
  <c r="M34" i="2"/>
  <c r="O45" i="2" l="1"/>
  <c r="O7" i="2" s="1"/>
  <c r="O6" i="2"/>
  <c r="O8" i="2"/>
  <c r="K15" i="2"/>
  <c r="K30" i="2" s="1"/>
  <c r="K22" i="2"/>
  <c r="K24" i="2" s="1"/>
  <c r="M11" i="2"/>
  <c r="M12" i="2" s="1"/>
  <c r="L12" i="2"/>
  <c r="N34" i="2"/>
  <c r="K25" i="2" l="1"/>
  <c r="K26" i="2" s="1"/>
  <c r="K31" i="2" s="1"/>
  <c r="L22" i="2"/>
  <c r="L24" i="2" s="1"/>
  <c r="L25" i="2" s="1"/>
  <c r="L26" i="2" s="1"/>
  <c r="L15" i="2"/>
  <c r="L30" i="2" s="1"/>
  <c r="N11" i="2"/>
  <c r="M22" i="2"/>
  <c r="M24" i="2" s="1"/>
  <c r="M25" i="2" s="1"/>
  <c r="M26" i="2" s="1"/>
  <c r="M15" i="2"/>
  <c r="M30" i="2" s="1"/>
  <c r="O34" i="2"/>
  <c r="O11" i="2" l="1"/>
  <c r="O12" i="2" s="1"/>
  <c r="N12" i="2"/>
  <c r="L31" i="2"/>
  <c r="L43" i="2" s="1"/>
  <c r="L27" i="2"/>
  <c r="M27" i="2"/>
  <c r="M31" i="2"/>
  <c r="M43" i="2" s="1"/>
  <c r="N22" i="2"/>
  <c r="N24" i="2" s="1"/>
  <c r="N25" i="2" s="1"/>
  <c r="N26" i="2" s="1"/>
  <c r="N15" i="2"/>
  <c r="N30" i="2" s="1"/>
  <c r="K43" i="2"/>
  <c r="K27" i="2"/>
  <c r="N27" i="2" l="1"/>
  <c r="N31" i="2"/>
  <c r="N43" i="2" s="1"/>
  <c r="O15" i="2"/>
  <c r="O30" i="2" s="1"/>
  <c r="O22" i="2"/>
  <c r="O24" i="2" s="1"/>
  <c r="O25" i="2" l="1"/>
  <c r="O26" i="2" s="1"/>
  <c r="O31" i="2" s="1"/>
  <c r="O43" i="2" s="1"/>
  <c r="P26" i="2" l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O27" i="2"/>
  <c r="R34" i="2" l="1"/>
  <c r="R35" i="2" s="1"/>
  <c r="R36" i="2" s="1"/>
</calcChain>
</file>

<file path=xl/sharedStrings.xml><?xml version="1.0" encoding="utf-8"?>
<sst xmlns="http://schemas.openxmlformats.org/spreadsheetml/2006/main" count="72" uniqueCount="57">
  <si>
    <t>XYZ</t>
  </si>
  <si>
    <t>Price</t>
  </si>
  <si>
    <t>Shares</t>
  </si>
  <si>
    <t>MC</t>
  </si>
  <si>
    <t>Cash</t>
  </si>
  <si>
    <t>Debt</t>
  </si>
  <si>
    <t>EV</t>
  </si>
  <si>
    <t>FCF</t>
  </si>
  <si>
    <t>Run Rate</t>
  </si>
  <si>
    <t>NTM</t>
  </si>
  <si>
    <t>Q424</t>
  </si>
  <si>
    <t>Revenue</t>
  </si>
  <si>
    <t>Net Income</t>
  </si>
  <si>
    <t>Gross Margin</t>
  </si>
  <si>
    <t>Net Margin</t>
  </si>
  <si>
    <t>CFFO</t>
  </si>
  <si>
    <t>Q324</t>
  </si>
  <si>
    <t>Q124</t>
  </si>
  <si>
    <t>Q224</t>
  </si>
  <si>
    <t>Operating Income</t>
  </si>
  <si>
    <t>COGS</t>
  </si>
  <si>
    <t>Gross Profit</t>
  </si>
  <si>
    <t>Q125</t>
  </si>
  <si>
    <t>notes:</t>
  </si>
  <si>
    <t>"expect to leave 2025 at a Rule of 40 run rate"</t>
  </si>
  <si>
    <t>"achieve rule of 40 in 2026"</t>
  </si>
  <si>
    <t>Rule of X</t>
  </si>
  <si>
    <t>Rule of 40</t>
  </si>
  <si>
    <t>Rule of 40: growth rate + profit margin =&gt; 40%</t>
  </si>
  <si>
    <t>Rule of X: "growth should be valued more than FCF margin"</t>
  </si>
  <si>
    <t>(growth rate * multiplier (2-3x)) + FCF margin</t>
  </si>
  <si>
    <t>R&amp;D</t>
  </si>
  <si>
    <t>S&amp;M</t>
  </si>
  <si>
    <t>G&amp;A</t>
  </si>
  <si>
    <t>Taxes</t>
  </si>
  <si>
    <t>Maturity</t>
  </si>
  <si>
    <t>ROIC</t>
  </si>
  <si>
    <t>Discount</t>
  </si>
  <si>
    <t>NPV</t>
  </si>
  <si>
    <t>Diff</t>
  </si>
  <si>
    <t>CX</t>
  </si>
  <si>
    <t>EPS</t>
  </si>
  <si>
    <t>Revenue y/y</t>
  </si>
  <si>
    <t>Interest Income</t>
  </si>
  <si>
    <t>Pretax Income</t>
  </si>
  <si>
    <t>Square GP</t>
  </si>
  <si>
    <t>Cash App GP</t>
  </si>
  <si>
    <t>Operating Expenses</t>
  </si>
  <si>
    <t>Square y/y</t>
  </si>
  <si>
    <t>Cash App y/y</t>
  </si>
  <si>
    <t>Transaction-based</t>
  </si>
  <si>
    <t>Subscription &amp; Services</t>
  </si>
  <si>
    <t>Hardware</t>
  </si>
  <si>
    <t>Bitcoin</t>
  </si>
  <si>
    <t>Amortization</t>
  </si>
  <si>
    <t>Consumer Receivable Loss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</si>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</sst>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1" fontId="0" fillId="0" borderId="0" xfId="0" applyNumberFormat="1"/>
    <xf numFmtId="8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19050</xdr:rowOff>
    </xdr:from>
    <xdr:to>
      <xdr:col>10</xdr:col>
      <xdr:colOff>9525</xdr:colOff>
      <xdr:row>30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C033D29-C3C1-6EDA-A265-609F5DECE16B}"/>
            </a:ext>
          </a:extLst>
        </xdr:cNvPr>
        <xdr:cNvCxnSpPr/>
      </xdr:nvCxnSpPr>
      <xdr:spPr>
        <a:xfrm flipH="1">
          <a:off x="6686550" y="19050"/>
          <a:ext cx="9525" cy="58007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28575</xdr:rowOff>
    </xdr:from>
    <xdr:to>
      <xdr:col>5</xdr:col>
      <xdr:colOff>9525</xdr:colOff>
      <xdr:row>30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7A71A99-91D8-47FA-4086-8D1A60F26055}"/>
            </a:ext>
          </a:extLst>
        </xdr:cNvPr>
        <xdr:cNvCxnSpPr/>
      </xdr:nvCxnSpPr>
      <xdr:spPr>
        <a:xfrm flipH="1">
          <a:off x="3638550" y="28575"/>
          <a:ext cx="9525" cy="5848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8871-36D9-4410-9561-C7A7B2E935BD}">
  <dimension ref="A1:I12"/>
  <sheetViews>
    <sheetView zoomScale="235" zoomScaleNormal="235" workbookViewId="0">
      <selection activeCell="G9" sqref="A9:G9"/>
    </sheetView>
  </sheetViews>
  <sheetFormatPr defaultRowHeight="15" x14ac:dyDescent="0.25"/>
  <sheetData>
    <row r="1" spans="1:9" x14ac:dyDescent="0.25">
      <c r="A1" s="1" t="s">
        <v>0</v>
      </c>
    </row>
    <row r="2" spans="1:9" x14ac:dyDescent="0.25">
      <c r="B2" t="s">
        <v>23</v>
      </c>
      <c r="G2" t="s">
        <v>1</v>
      </c>
      <c r="H2" s="2">
        <v>58.5</v>
      </c>
    </row>
    <row r="3" spans="1:9" x14ac:dyDescent="0.25">
      <c r="A3" t="s">
        <v>24</v>
      </c>
      <c r="G3" t="s">
        <v>2</v>
      </c>
      <c r="H3" s="2">
        <f>559.4+60</f>
        <v>619.4</v>
      </c>
      <c r="I3" t="s">
        <v>10</v>
      </c>
    </row>
    <row r="4" spans="1:9" x14ac:dyDescent="0.25">
      <c r="A4" t="s">
        <v>25</v>
      </c>
      <c r="G4" t="s">
        <v>3</v>
      </c>
      <c r="H4" s="2">
        <f>H3*H2</f>
        <v>36234.9</v>
      </c>
    </row>
    <row r="5" spans="1:9" x14ac:dyDescent="0.25">
      <c r="A5" t="s">
        <v>28</v>
      </c>
      <c r="G5" t="s">
        <v>4</v>
      </c>
      <c r="H5" s="2">
        <f>8075+403</f>
        <v>8478</v>
      </c>
      <c r="I5" t="s">
        <v>10</v>
      </c>
    </row>
    <row r="6" spans="1:9" x14ac:dyDescent="0.25">
      <c r="A6" t="s">
        <v>29</v>
      </c>
      <c r="G6" t="s">
        <v>5</v>
      </c>
      <c r="H6" s="2">
        <f>5106+1000</f>
        <v>6106</v>
      </c>
      <c r="I6" t="s">
        <v>10</v>
      </c>
    </row>
    <row r="7" spans="1:9" x14ac:dyDescent="0.25">
      <c r="A7" t="s">
        <v>30</v>
      </c>
      <c r="G7" t="s">
        <v>6</v>
      </c>
      <c r="H7" s="2">
        <f>H4+H6-H5</f>
        <v>33862.9</v>
      </c>
    </row>
    <row r="8" spans="1:9" x14ac:dyDescent="0.25">
      <c r="H8" s="2">
        <f>228.333333333333*4</f>
        <v>913.33333333333337</v>
      </c>
    </row>
    <row r="9" spans="1:9" x14ac:dyDescent="0.25">
      <c r="H9">
        <f>H7/H8</f>
        <v>37.076167883211681</v>
      </c>
    </row>
    <row r="10" spans="1:9" x14ac:dyDescent="0.25">
      <c r="G10" t="s">
        <v>7</v>
      </c>
      <c r="H10" s="2">
        <v>628.16399999999999</v>
      </c>
      <c r="I10" s="3">
        <f>$H$7/H10</f>
        <v>53.907737469832725</v>
      </c>
    </row>
    <row r="11" spans="1:9" x14ac:dyDescent="0.25">
      <c r="G11" t="s">
        <v>8</v>
      </c>
      <c r="H11" s="2">
        <f>H10*4</f>
        <v>2512.6559999999999</v>
      </c>
      <c r="I11" s="3">
        <f>$H$7/H11</f>
        <v>13.476934367458181</v>
      </c>
    </row>
    <row r="12" spans="1:9" x14ac:dyDescent="0.25">
      <c r="G12" t="s">
        <v>9</v>
      </c>
      <c r="H12" s="2">
        <f>H11*1.1</f>
        <v>2763.9216000000001</v>
      </c>
      <c r="I12" s="3">
        <f>$H$7/H12</f>
        <v>12.251758515871073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9DA1-102B-490D-A61C-C357F954C48A}">
  <dimension ref="A1:CB48"/>
  <sheetViews>
    <sheetView tabSelected="1" workbookViewId="0">
      <pane xSplit="1" ySplit="1" topLeftCell="F6" activePane="bottomRight" state="frozen"/>
      <selection pane="topRight" activeCell="B1" sqref="B1"/>
      <selection pane="bottomLeft" activeCell="A2" sqref="A2"/>
      <selection pane="bottomRight" activeCell="J32" sqref="J32"/>
    </sheetView>
  </sheetViews>
  <sheetFormatPr defaultRowHeight="15" x14ac:dyDescent="0.25"/>
  <cols>
    <col min="1" max="1" width="24.5703125" style="2" customWidth="1"/>
    <col min="2" max="2" width="8.7109375" style="2" customWidth="1"/>
    <col min="3" max="16384" width="9.140625" style="2"/>
  </cols>
  <sheetData>
    <row r="1" spans="1:16" x14ac:dyDescent="0.25">
      <c r="B1" s="2" t="s">
        <v>17</v>
      </c>
      <c r="C1" s="2" t="s">
        <v>18</v>
      </c>
      <c r="D1" s="2" t="s">
        <v>16</v>
      </c>
      <c r="E1" s="2" t="s">
        <v>10</v>
      </c>
      <c r="F1" s="2" t="s">
        <v>22</v>
      </c>
      <c r="H1" s="5">
        <v>2022</v>
      </c>
      <c r="I1" s="5">
        <v>2023</v>
      </c>
      <c r="J1" s="5">
        <f t="shared" ref="J1:O1" si="0">I1+1</f>
        <v>2024</v>
      </c>
      <c r="K1" s="5">
        <f t="shared" si="0"/>
        <v>2025</v>
      </c>
      <c r="L1" s="5">
        <f t="shared" si="0"/>
        <v>2026</v>
      </c>
      <c r="M1" s="5">
        <f t="shared" si="0"/>
        <v>2027</v>
      </c>
      <c r="N1" s="5">
        <f t="shared" si="0"/>
        <v>2028</v>
      </c>
      <c r="O1" s="5">
        <f t="shared" si="0"/>
        <v>2029</v>
      </c>
    </row>
    <row r="2" spans="1:16" x14ac:dyDescent="0.25">
      <c r="A2" s="2" t="s">
        <v>50</v>
      </c>
      <c r="I2" s="2">
        <v>6315.3</v>
      </c>
      <c r="J2" s="2">
        <v>6613.7</v>
      </c>
      <c r="K2" s="2">
        <f>J2*1.05</f>
        <v>6944.3850000000002</v>
      </c>
      <c r="L2" s="2">
        <f t="shared" ref="L2:O2" si="1">K2*1.05</f>
        <v>7291.6042500000003</v>
      </c>
      <c r="M2" s="2">
        <f t="shared" si="1"/>
        <v>7656.1844625000003</v>
      </c>
      <c r="N2" s="2">
        <f t="shared" si="1"/>
        <v>8038.9936856250006</v>
      </c>
      <c r="O2" s="2">
        <f t="shared" si="1"/>
        <v>8440.9433699062502</v>
      </c>
      <c r="P2" s="4"/>
    </row>
    <row r="3" spans="1:16" x14ac:dyDescent="0.25">
      <c r="A3" s="2" t="s">
        <v>51</v>
      </c>
      <c r="I3" s="2">
        <v>5944.8</v>
      </c>
      <c r="J3" s="2">
        <v>7164.8</v>
      </c>
      <c r="K3" s="2">
        <f>J3*1.2</f>
        <v>8597.76</v>
      </c>
      <c r="L3" s="2">
        <f>K3*1.2</f>
        <v>10317.312</v>
      </c>
      <c r="M3" s="2">
        <f>L3*1.1</f>
        <v>11349.0432</v>
      </c>
      <c r="N3" s="2">
        <f>M3*1.1</f>
        <v>12483.947520000002</v>
      </c>
      <c r="O3" s="2">
        <f>N3*1.1</f>
        <v>13732.342272000004</v>
      </c>
      <c r="P3" s="4"/>
    </row>
    <row r="4" spans="1:16" x14ac:dyDescent="0.25">
      <c r="A4" s="2" t="s">
        <v>52</v>
      </c>
      <c r="I4" s="2">
        <v>157.19999999999999</v>
      </c>
      <c r="J4" s="2">
        <v>143.30000000000001</v>
      </c>
      <c r="K4" s="2">
        <f>J4*1</f>
        <v>143.30000000000001</v>
      </c>
      <c r="L4" s="2">
        <f t="shared" ref="L4:O4" si="2">K4*1</f>
        <v>143.30000000000001</v>
      </c>
      <c r="M4" s="2">
        <f t="shared" si="2"/>
        <v>143.30000000000001</v>
      </c>
      <c r="N4" s="2">
        <f t="shared" si="2"/>
        <v>143.30000000000001</v>
      </c>
      <c r="O4" s="2">
        <f t="shared" si="2"/>
        <v>143.30000000000001</v>
      </c>
      <c r="P4" s="4"/>
    </row>
    <row r="5" spans="1:16" x14ac:dyDescent="0.25">
      <c r="A5" s="2" t="s">
        <v>53</v>
      </c>
      <c r="I5" s="2">
        <v>948.3</v>
      </c>
      <c r="J5" s="2">
        <v>10199.200000000001</v>
      </c>
      <c r="K5" s="2">
        <f>J5*1.05</f>
        <v>10709.160000000002</v>
      </c>
      <c r="L5" s="2">
        <f t="shared" ref="L5:O5" si="3">K5*1.05</f>
        <v>11244.618000000002</v>
      </c>
      <c r="M5" s="2">
        <f t="shared" si="3"/>
        <v>11806.848900000003</v>
      </c>
      <c r="N5" s="2">
        <f t="shared" si="3"/>
        <v>12397.191345000003</v>
      </c>
      <c r="O5" s="2">
        <f t="shared" si="3"/>
        <v>13017.050912250004</v>
      </c>
      <c r="P5" s="4"/>
    </row>
    <row r="6" spans="1:16" x14ac:dyDescent="0.25">
      <c r="A6" s="7" t="s">
        <v>11</v>
      </c>
      <c r="B6" s="7">
        <v>5957</v>
      </c>
      <c r="C6" s="7">
        <v>6155</v>
      </c>
      <c r="D6" s="7">
        <v>5975.8</v>
      </c>
      <c r="E6" s="7"/>
      <c r="F6" s="7"/>
      <c r="G6" s="7"/>
      <c r="H6" s="7">
        <v>17531</v>
      </c>
      <c r="I6" s="7">
        <v>21915</v>
      </c>
      <c r="J6" s="7">
        <f>SUM(J2:J5)</f>
        <v>24121</v>
      </c>
      <c r="K6" s="7">
        <f>SUM(K2:K5)</f>
        <v>26394.605000000003</v>
      </c>
      <c r="L6" s="7">
        <f t="shared" ref="L6:O6" si="4">SUM(L2:L5)</f>
        <v>28996.834250000004</v>
      </c>
      <c r="M6" s="7">
        <f t="shared" si="4"/>
        <v>30955.376562500001</v>
      </c>
      <c r="N6" s="7">
        <f t="shared" si="4"/>
        <v>33063.432550625002</v>
      </c>
      <c r="O6" s="7">
        <f t="shared" si="4"/>
        <v>35333.636554156255</v>
      </c>
    </row>
    <row r="7" spans="1:16" x14ac:dyDescent="0.25">
      <c r="A7" s="2" t="s">
        <v>50</v>
      </c>
      <c r="I7" s="2">
        <v>3702</v>
      </c>
      <c r="J7" s="2">
        <v>3881</v>
      </c>
      <c r="K7" s="2">
        <f>J7*(1+K45)</f>
        <v>4075.05</v>
      </c>
      <c r="L7" s="2">
        <f t="shared" ref="L7:O7" si="5">K7*(1+L45)</f>
        <v>4278.8025000000007</v>
      </c>
      <c r="M7" s="2">
        <f t="shared" si="5"/>
        <v>4492.7426250000008</v>
      </c>
      <c r="N7" s="2">
        <f t="shared" si="5"/>
        <v>4717.3797562500013</v>
      </c>
      <c r="O7" s="2">
        <f t="shared" si="5"/>
        <v>4953.2487440625018</v>
      </c>
    </row>
    <row r="8" spans="1:16" x14ac:dyDescent="0.25">
      <c r="A8" s="2" t="s">
        <v>51</v>
      </c>
      <c r="I8" s="2">
        <v>1075.0999999999999</v>
      </c>
      <c r="J8" s="2">
        <v>1135.8</v>
      </c>
      <c r="K8" s="2">
        <f>J8*(1+K46)</f>
        <v>1362.9599999999998</v>
      </c>
      <c r="L8" s="2">
        <f t="shared" ref="L8:O8" si="6">K8*(1+L46)</f>
        <v>1635.5519999999997</v>
      </c>
      <c r="M8" s="2">
        <f t="shared" si="6"/>
        <v>1799.1071999999997</v>
      </c>
      <c r="N8" s="2">
        <f t="shared" si="6"/>
        <v>1979.0179199999998</v>
      </c>
      <c r="O8" s="2">
        <f t="shared" si="6"/>
        <v>2176.9197119999999</v>
      </c>
    </row>
    <row r="9" spans="1:16" x14ac:dyDescent="0.25">
      <c r="A9" s="2" t="s">
        <v>52</v>
      </c>
      <c r="I9" s="2">
        <v>267.60000000000002</v>
      </c>
      <c r="J9" s="2">
        <v>236.4</v>
      </c>
      <c r="K9" s="2">
        <f>J9*(1+K47)</f>
        <v>236.4</v>
      </c>
      <c r="L9" s="2">
        <f t="shared" ref="L9:O9" si="7">K9*(1+L47)</f>
        <v>236.4</v>
      </c>
      <c r="M9" s="2">
        <f t="shared" si="7"/>
        <v>236.4</v>
      </c>
      <c r="N9" s="2">
        <f t="shared" si="7"/>
        <v>236.4</v>
      </c>
      <c r="O9" s="2">
        <f t="shared" si="7"/>
        <v>236.4</v>
      </c>
    </row>
    <row r="10" spans="1:16" x14ac:dyDescent="0.25">
      <c r="A10" s="2" t="s">
        <v>53</v>
      </c>
      <c r="I10" s="2">
        <v>9293.1</v>
      </c>
      <c r="J10" s="2">
        <v>9910.4</v>
      </c>
      <c r="K10" s="2">
        <f>J10*(1+K48)</f>
        <v>10405.92</v>
      </c>
      <c r="L10" s="2">
        <f t="shared" ref="L10:O10" si="8">K10*(1+L48)</f>
        <v>10926.216</v>
      </c>
      <c r="M10" s="2">
        <f t="shared" si="8"/>
        <v>11472.526800000001</v>
      </c>
      <c r="N10" s="2">
        <f t="shared" si="8"/>
        <v>12046.153140000002</v>
      </c>
      <c r="O10" s="2">
        <f t="shared" si="8"/>
        <v>12648.460797000003</v>
      </c>
    </row>
    <row r="11" spans="1:16" x14ac:dyDescent="0.25">
      <c r="A11" s="2" t="s">
        <v>54</v>
      </c>
      <c r="I11" s="2">
        <v>72.8</v>
      </c>
      <c r="J11" s="2">
        <v>68.3</v>
      </c>
      <c r="K11" s="2">
        <f>J11*(1+K34)</f>
        <v>74.737843435180977</v>
      </c>
      <c r="L11" s="2">
        <f t="shared" ref="L11:O11" si="9">K11*(1+L34)</f>
        <v>82.106205351146329</v>
      </c>
      <c r="M11" s="2">
        <f>L11*(1+M34)</f>
        <v>87.651930650418734</v>
      </c>
      <c r="N11" s="2">
        <f t="shared" si="9"/>
        <v>93.621012528820842</v>
      </c>
      <c r="O11" s="2">
        <f t="shared" si="9"/>
        <v>100.04922584672576</v>
      </c>
    </row>
    <row r="12" spans="1:16" x14ac:dyDescent="0.25">
      <c r="A12" s="2" t="s">
        <v>20</v>
      </c>
      <c r="H12" s="2">
        <f t="shared" ref="H12:O12" si="10">SUM(H7:H11)</f>
        <v>0</v>
      </c>
      <c r="I12" s="2">
        <f t="shared" si="10"/>
        <v>14410.6</v>
      </c>
      <c r="J12" s="2">
        <f t="shared" si="10"/>
        <v>15231.899999999998</v>
      </c>
      <c r="K12" s="2">
        <f t="shared" si="10"/>
        <v>16155.067843435181</v>
      </c>
      <c r="L12" s="2">
        <f t="shared" si="10"/>
        <v>17159.076705351144</v>
      </c>
      <c r="M12" s="2">
        <f t="shared" si="10"/>
        <v>18088.428555650422</v>
      </c>
      <c r="N12" s="2">
        <f t="shared" si="10"/>
        <v>19072.571828778822</v>
      </c>
      <c r="O12" s="2">
        <f t="shared" si="10"/>
        <v>20115.078478909232</v>
      </c>
    </row>
    <row r="13" spans="1:16" x14ac:dyDescent="0.25">
      <c r="A13" s="2" t="s">
        <v>45</v>
      </c>
      <c r="J13" s="4"/>
    </row>
    <row r="14" spans="1:16" x14ac:dyDescent="0.25">
      <c r="A14" s="2" t="s">
        <v>46</v>
      </c>
    </row>
    <row r="15" spans="1:16" x14ac:dyDescent="0.25">
      <c r="A15" s="2" t="s">
        <v>21</v>
      </c>
      <c r="H15" s="4"/>
      <c r="I15" s="2">
        <f>I6-I12</f>
        <v>7504.4</v>
      </c>
      <c r="J15" s="2">
        <f>J6-J12</f>
        <v>8889.1000000000022</v>
      </c>
      <c r="K15" s="2">
        <f t="shared" ref="K15:O15" si="11">K6-K12</f>
        <v>10239.537156564822</v>
      </c>
      <c r="L15" s="2">
        <f t="shared" si="11"/>
        <v>11837.757544648859</v>
      </c>
      <c r="M15" s="2">
        <f t="shared" si="11"/>
        <v>12866.94800684958</v>
      </c>
      <c r="N15" s="2">
        <f t="shared" si="11"/>
        <v>13990.86072184618</v>
      </c>
      <c r="O15" s="2">
        <f t="shared" si="11"/>
        <v>15218.558075247023</v>
      </c>
    </row>
    <row r="16" spans="1:16" x14ac:dyDescent="0.25">
      <c r="A16" s="2" t="s">
        <v>31</v>
      </c>
      <c r="I16" s="2">
        <v>2720.8</v>
      </c>
      <c r="J16" s="2">
        <v>2914.4</v>
      </c>
      <c r="K16" s="2">
        <f>J16*1.07</f>
        <v>3118.4080000000004</v>
      </c>
      <c r="L16" s="2">
        <f t="shared" ref="L16:O16" si="12">K16*1.07</f>
        <v>3336.6965600000008</v>
      </c>
      <c r="M16" s="2">
        <f t="shared" si="12"/>
        <v>3570.2653192000012</v>
      </c>
      <c r="N16" s="2">
        <f t="shared" si="12"/>
        <v>3820.1838915440017</v>
      </c>
      <c r="O16" s="2">
        <f t="shared" si="12"/>
        <v>4087.5967639520818</v>
      </c>
    </row>
    <row r="17" spans="1:80" x14ac:dyDescent="0.25">
      <c r="A17" s="2" t="s">
        <v>32</v>
      </c>
      <c r="I17" s="2">
        <v>2019</v>
      </c>
      <c r="J17" s="2">
        <v>1984.2</v>
      </c>
      <c r="K17" s="2">
        <f>J17*1.02</f>
        <v>2023.884</v>
      </c>
      <c r="L17" s="2">
        <f t="shared" ref="L17:O17" si="13">K17*1.02</f>
        <v>2064.36168</v>
      </c>
      <c r="M17" s="2">
        <f t="shared" si="13"/>
        <v>2105.6489136</v>
      </c>
      <c r="N17" s="2">
        <f t="shared" si="13"/>
        <v>2147.761891872</v>
      </c>
      <c r="O17" s="2">
        <f t="shared" si="13"/>
        <v>2190.7171297094401</v>
      </c>
    </row>
    <row r="18" spans="1:80" x14ac:dyDescent="0.25">
      <c r="A18" s="2" t="s">
        <v>33</v>
      </c>
      <c r="I18" s="2">
        <v>2209.1999999999998</v>
      </c>
      <c r="J18" s="2">
        <v>2149.1</v>
      </c>
      <c r="K18" s="2">
        <f>J18*1.01</f>
        <v>2170.5909999999999</v>
      </c>
      <c r="L18" s="2">
        <f t="shared" ref="L18:O18" si="14">K18*1.01</f>
        <v>2192.29691</v>
      </c>
      <c r="M18" s="2">
        <f t="shared" si="14"/>
        <v>2214.2198791000001</v>
      </c>
      <c r="N18" s="2">
        <f t="shared" si="14"/>
        <v>2236.3620778909999</v>
      </c>
      <c r="O18" s="2">
        <f t="shared" si="14"/>
        <v>2258.7256986699099</v>
      </c>
    </row>
    <row r="19" spans="1:80" x14ac:dyDescent="0.25">
      <c r="A19" s="2" t="s">
        <v>55</v>
      </c>
      <c r="I19" s="2">
        <v>660.7</v>
      </c>
      <c r="J19" s="2">
        <v>794.2</v>
      </c>
      <c r="K19" s="2">
        <f>J19*1.1</f>
        <v>873.62000000000012</v>
      </c>
      <c r="L19" s="2">
        <f t="shared" ref="L19:O19" si="15">K19*1.1</f>
        <v>960.9820000000002</v>
      </c>
      <c r="M19" s="2">
        <f t="shared" si="15"/>
        <v>1057.0802000000003</v>
      </c>
      <c r="N19" s="2">
        <f t="shared" si="15"/>
        <v>1162.7882200000004</v>
      </c>
      <c r="O19" s="2">
        <f t="shared" si="15"/>
        <v>1279.0670420000006</v>
      </c>
    </row>
    <row r="20" spans="1:80" x14ac:dyDescent="0.25">
      <c r="A20" s="2" t="s">
        <v>54</v>
      </c>
      <c r="I20" s="2">
        <v>174</v>
      </c>
      <c r="J20" s="2">
        <v>154.69999999999999</v>
      </c>
      <c r="K20" s="2">
        <f>J20*1.05</f>
        <v>162.435</v>
      </c>
      <c r="L20" s="2">
        <f t="shared" ref="L20:O20" si="16">K20*1.05</f>
        <v>170.55675000000002</v>
      </c>
      <c r="M20" s="2">
        <f t="shared" si="16"/>
        <v>179.08458750000003</v>
      </c>
      <c r="N20" s="2">
        <f t="shared" si="16"/>
        <v>188.03881687500004</v>
      </c>
      <c r="O20" s="2">
        <f t="shared" si="16"/>
        <v>197.44075771875004</v>
      </c>
    </row>
    <row r="21" spans="1:80" x14ac:dyDescent="0.25">
      <c r="A21" s="2" t="s">
        <v>47</v>
      </c>
      <c r="H21" s="2">
        <f>SUM(H16:H20)</f>
        <v>0</v>
      </c>
      <c r="I21" s="2">
        <f>SUM(I16:I20)</f>
        <v>7783.7</v>
      </c>
      <c r="J21" s="2">
        <f>SUM(J16:J20)</f>
        <v>7996.6</v>
      </c>
      <c r="K21" s="2">
        <f t="shared" ref="K21:O21" si="17">SUM(K16:K20)</f>
        <v>8348.9380000000001</v>
      </c>
      <c r="L21" s="2">
        <f t="shared" si="17"/>
        <v>8724.8939000000009</v>
      </c>
      <c r="M21" s="2">
        <f t="shared" si="17"/>
        <v>9126.2988994000025</v>
      </c>
      <c r="N21" s="2">
        <f t="shared" si="17"/>
        <v>9555.1348981820029</v>
      </c>
      <c r="O21" s="2">
        <f t="shared" si="17"/>
        <v>10013.547392050183</v>
      </c>
    </row>
    <row r="22" spans="1:80" x14ac:dyDescent="0.25">
      <c r="A22" s="2" t="s">
        <v>19</v>
      </c>
      <c r="H22" s="2">
        <f>H6-H12-H21</f>
        <v>17531</v>
      </c>
      <c r="I22" s="2">
        <f>I6-I12-I21</f>
        <v>-279.30000000000018</v>
      </c>
      <c r="J22" s="2">
        <f>J6-J12-J21</f>
        <v>892.50000000000182</v>
      </c>
      <c r="K22" s="2">
        <f t="shared" ref="K22:O22" si="18">K6-K12-K21</f>
        <v>1890.5991565648219</v>
      </c>
      <c r="L22" s="2">
        <f t="shared" si="18"/>
        <v>3112.8636446488581</v>
      </c>
      <c r="M22" s="2">
        <f t="shared" si="18"/>
        <v>3740.6491074495771</v>
      </c>
      <c r="N22" s="2">
        <f t="shared" si="18"/>
        <v>4435.7258236641774</v>
      </c>
      <c r="O22" s="2">
        <f t="shared" si="18"/>
        <v>5205.0106831968405</v>
      </c>
    </row>
    <row r="23" spans="1:80" x14ac:dyDescent="0.25">
      <c r="A23" s="2" t="s">
        <v>43</v>
      </c>
      <c r="I23" s="2">
        <v>47.2</v>
      </c>
      <c r="J23" s="2">
        <v>-9.3000000000000007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80" x14ac:dyDescent="0.25">
      <c r="A24" s="2" t="s">
        <v>44</v>
      </c>
      <c r="I24" s="2">
        <f>SUM(I22:I23)</f>
        <v>-232.10000000000019</v>
      </c>
      <c r="J24" s="2">
        <f>SUM(J22:J23)</f>
        <v>883.20000000000186</v>
      </c>
      <c r="K24" s="2">
        <f t="shared" ref="K24:O24" si="19">SUM(K22:K23)</f>
        <v>1890.5991565648219</v>
      </c>
      <c r="L24" s="2">
        <f t="shared" si="19"/>
        <v>3112.8636446488581</v>
      </c>
      <c r="M24" s="2">
        <f t="shared" si="19"/>
        <v>3740.6491074495771</v>
      </c>
      <c r="N24" s="2">
        <f t="shared" si="19"/>
        <v>4435.7258236641774</v>
      </c>
      <c r="O24" s="2">
        <f t="shared" si="19"/>
        <v>5205.0106831968405</v>
      </c>
    </row>
    <row r="25" spans="1:80" x14ac:dyDescent="0.25">
      <c r="A25" s="2" t="s">
        <v>34</v>
      </c>
      <c r="J25" s="2">
        <v>-1509.3</v>
      </c>
      <c r="K25" s="2">
        <f>K32*K24</f>
        <v>397.02582287861259</v>
      </c>
      <c r="L25" s="2">
        <f>L32*L24</f>
        <v>653.70136537626013</v>
      </c>
      <c r="M25" s="2">
        <f>M32*M24</f>
        <v>785.53631256441111</v>
      </c>
      <c r="N25" s="2">
        <f>N32*N24</f>
        <v>931.50242296947727</v>
      </c>
      <c r="O25" s="2">
        <f>O32*O24</f>
        <v>1093.0522434713364</v>
      </c>
    </row>
    <row r="26" spans="1:80" x14ac:dyDescent="0.25">
      <c r="A26" s="2" t="s">
        <v>12</v>
      </c>
      <c r="H26" s="2">
        <f>H24-H25</f>
        <v>0</v>
      </c>
      <c r="I26" s="2">
        <f>I24-I25</f>
        <v>-232.10000000000019</v>
      </c>
      <c r="J26" s="2">
        <f>J24-J25</f>
        <v>2392.5000000000018</v>
      </c>
      <c r="K26" s="2">
        <f t="shared" ref="K26:O26" si="20">K24-K25</f>
        <v>1493.5733336862093</v>
      </c>
      <c r="L26" s="2">
        <f t="shared" si="20"/>
        <v>2459.162279272598</v>
      </c>
      <c r="M26" s="2">
        <f t="shared" si="20"/>
        <v>2955.1127948851658</v>
      </c>
      <c r="N26" s="2">
        <f t="shared" si="20"/>
        <v>3504.2234006947001</v>
      </c>
      <c r="O26" s="2">
        <f t="shared" si="20"/>
        <v>4111.9584397255039</v>
      </c>
      <c r="P26" s="2">
        <f t="shared" ref="P26:AU26" si="21">O26*(1+$R$32)</f>
        <v>4153.0780241227594</v>
      </c>
      <c r="Q26" s="2">
        <f t="shared" si="21"/>
        <v>4194.6088043639875</v>
      </c>
      <c r="R26" s="2">
        <f t="shared" si="21"/>
        <v>4236.5548924076274</v>
      </c>
      <c r="S26" s="2">
        <f t="shared" si="21"/>
        <v>4278.9204413317038</v>
      </c>
      <c r="T26" s="2">
        <f t="shared" si="21"/>
        <v>4321.7096457450207</v>
      </c>
      <c r="U26" s="2">
        <f t="shared" si="21"/>
        <v>4364.9267422024714</v>
      </c>
      <c r="V26" s="2">
        <f t="shared" si="21"/>
        <v>4408.5760096244958</v>
      </c>
      <c r="W26" s="2">
        <f t="shared" si="21"/>
        <v>4452.6617697207412</v>
      </c>
      <c r="X26" s="2">
        <f t="shared" si="21"/>
        <v>4497.1883874179484</v>
      </c>
      <c r="Y26" s="2">
        <f t="shared" si="21"/>
        <v>4542.1602712921276</v>
      </c>
      <c r="Z26" s="2">
        <f t="shared" si="21"/>
        <v>4587.581874005049</v>
      </c>
      <c r="AA26" s="2">
        <f t="shared" si="21"/>
        <v>4633.4576927450998</v>
      </c>
      <c r="AB26" s="2">
        <f t="shared" si="21"/>
        <v>4679.7922696725509</v>
      </c>
      <c r="AC26" s="2">
        <f t="shared" si="21"/>
        <v>4726.5901923692763</v>
      </c>
      <c r="AD26" s="2">
        <f t="shared" si="21"/>
        <v>4773.8560942929689</v>
      </c>
      <c r="AE26" s="2">
        <f t="shared" si="21"/>
        <v>4821.5946552358982</v>
      </c>
      <c r="AF26" s="2">
        <f t="shared" si="21"/>
        <v>4869.8106017882574</v>
      </c>
      <c r="AG26" s="2">
        <f t="shared" si="21"/>
        <v>4918.5087078061397</v>
      </c>
      <c r="AH26" s="2">
        <f t="shared" si="21"/>
        <v>4967.6937948842015</v>
      </c>
      <c r="AI26" s="2">
        <f t="shared" si="21"/>
        <v>5017.3707328330438</v>
      </c>
      <c r="AJ26" s="2">
        <f t="shared" si="21"/>
        <v>5067.544440161374</v>
      </c>
      <c r="AK26" s="2">
        <f t="shared" si="21"/>
        <v>5118.2198845629882</v>
      </c>
      <c r="AL26" s="2">
        <f t="shared" si="21"/>
        <v>5169.4020834086177</v>
      </c>
      <c r="AM26" s="2">
        <f t="shared" si="21"/>
        <v>5221.0961042427043</v>
      </c>
      <c r="AN26" s="2">
        <f t="shared" si="21"/>
        <v>5273.3070652851311</v>
      </c>
      <c r="AO26" s="2">
        <f t="shared" si="21"/>
        <v>5326.0401359379821</v>
      </c>
      <c r="AP26" s="2">
        <f t="shared" si="21"/>
        <v>5379.3005372973621</v>
      </c>
      <c r="AQ26" s="2">
        <f t="shared" si="21"/>
        <v>5433.0935426703354</v>
      </c>
      <c r="AR26" s="2">
        <f t="shared" si="21"/>
        <v>5487.4244780970384</v>
      </c>
      <c r="AS26" s="2">
        <f t="shared" si="21"/>
        <v>5542.2987228780084</v>
      </c>
      <c r="AT26" s="2">
        <f t="shared" si="21"/>
        <v>5597.721710106789</v>
      </c>
      <c r="AU26" s="2">
        <f t="shared" si="21"/>
        <v>5653.6989272078572</v>
      </c>
      <c r="AV26" s="2">
        <f t="shared" ref="AV26:CB26" si="22">AU26*(1+$R$32)</f>
        <v>5710.2359164799354</v>
      </c>
      <c r="AW26" s="2">
        <f t="shared" si="22"/>
        <v>5767.3382756447345</v>
      </c>
      <c r="AX26" s="2">
        <f t="shared" si="22"/>
        <v>5825.0116584011821</v>
      </c>
      <c r="AY26" s="2">
        <f t="shared" si="22"/>
        <v>5883.2617749851943</v>
      </c>
      <c r="AZ26" s="2">
        <f t="shared" si="22"/>
        <v>5942.0943927350463</v>
      </c>
      <c r="BA26" s="2">
        <f t="shared" si="22"/>
        <v>6001.5153366623972</v>
      </c>
      <c r="BB26" s="2">
        <f t="shared" si="22"/>
        <v>6061.5304900290212</v>
      </c>
      <c r="BC26" s="2">
        <f t="shared" si="22"/>
        <v>6122.1457949293117</v>
      </c>
      <c r="BD26" s="2">
        <f t="shared" si="22"/>
        <v>6183.3672528786046</v>
      </c>
      <c r="BE26" s="2">
        <f t="shared" si="22"/>
        <v>6245.200925407391</v>
      </c>
      <c r="BF26" s="2">
        <f t="shared" si="22"/>
        <v>6307.6529346614652</v>
      </c>
      <c r="BG26" s="2">
        <f t="shared" si="22"/>
        <v>6370.72946400808</v>
      </c>
      <c r="BH26" s="2">
        <f t="shared" si="22"/>
        <v>6434.4367586481612</v>
      </c>
      <c r="BI26" s="2">
        <f t="shared" si="22"/>
        <v>6498.7811262346431</v>
      </c>
      <c r="BJ26" s="2">
        <f t="shared" si="22"/>
        <v>6563.7689374969896</v>
      </c>
      <c r="BK26" s="2">
        <f t="shared" si="22"/>
        <v>6629.4066268719598</v>
      </c>
      <c r="BL26" s="2">
        <f t="shared" si="22"/>
        <v>6695.7006931406795</v>
      </c>
      <c r="BM26" s="2">
        <f t="shared" si="22"/>
        <v>6762.6577000720863</v>
      </c>
      <c r="BN26" s="2">
        <f t="shared" si="22"/>
        <v>6830.2842770728075</v>
      </c>
      <c r="BO26" s="2">
        <f t="shared" si="22"/>
        <v>6898.5871198435352</v>
      </c>
      <c r="BP26" s="2">
        <f t="shared" si="22"/>
        <v>6967.5729910419705</v>
      </c>
      <c r="BQ26" s="2">
        <f t="shared" si="22"/>
        <v>7037.2487209523906</v>
      </c>
      <c r="BR26" s="2">
        <f t="shared" si="22"/>
        <v>7107.6212081619142</v>
      </c>
      <c r="BS26" s="2">
        <f t="shared" si="22"/>
        <v>7178.6974202435331</v>
      </c>
      <c r="BT26" s="2">
        <f t="shared" si="22"/>
        <v>7250.4843944459681</v>
      </c>
      <c r="BU26" s="2">
        <f t="shared" si="22"/>
        <v>7322.989238390428</v>
      </c>
      <c r="BV26" s="2">
        <f t="shared" si="22"/>
        <v>7396.2191307743324</v>
      </c>
      <c r="BW26" s="2">
        <f t="shared" si="22"/>
        <v>7470.1813220820759</v>
      </c>
      <c r="BX26" s="2">
        <f t="shared" si="22"/>
        <v>7544.8831353028963</v>
      </c>
      <c r="BY26" s="2">
        <f t="shared" si="22"/>
        <v>7620.3319666559255</v>
      </c>
      <c r="BZ26" s="2">
        <f t="shared" si="22"/>
        <v>7696.5352863224853</v>
      </c>
      <c r="CA26" s="2">
        <f t="shared" si="22"/>
        <v>7773.5006391857105</v>
      </c>
      <c r="CB26" s="2">
        <f t="shared" si="22"/>
        <v>7851.235645577568</v>
      </c>
    </row>
    <row r="27" spans="1:80" s="7" customFormat="1" x14ac:dyDescent="0.25">
      <c r="A27" s="9" t="s">
        <v>41</v>
      </c>
      <c r="H27" s="9">
        <f>H26/H28</f>
        <v>0</v>
      </c>
      <c r="I27" s="9">
        <f>I26/I28</f>
        <v>-0.38683333333333364</v>
      </c>
      <c r="J27" s="9">
        <f>J26/Sheet1!$H$3</f>
        <v>3.8626089764288052</v>
      </c>
      <c r="K27" s="9">
        <f>K26/K28</f>
        <v>2.2979818965862129</v>
      </c>
      <c r="L27" s="9">
        <f>L26/L28</f>
        <v>3.6034453628632206</v>
      </c>
      <c r="M27" s="9">
        <f>M26/M28</f>
        <v>4.1239701779050719</v>
      </c>
      <c r="N27" s="9">
        <f>N26/N28</f>
        <v>4.6574043036755315</v>
      </c>
      <c r="O27" s="9">
        <f>O26/O28</f>
        <v>5.2048901986361056</v>
      </c>
    </row>
    <row r="28" spans="1:80" x14ac:dyDescent="0.25">
      <c r="A28" s="2" t="s">
        <v>2</v>
      </c>
      <c r="H28" s="2">
        <v>580</v>
      </c>
      <c r="I28" s="2">
        <v>600</v>
      </c>
      <c r="J28" s="2">
        <v>619</v>
      </c>
      <c r="K28" s="2">
        <f>J28*1.05</f>
        <v>649.95000000000005</v>
      </c>
      <c r="L28" s="2">
        <f>K28*1.05</f>
        <v>682.4475000000001</v>
      </c>
      <c r="M28" s="2">
        <f>L28*1.05</f>
        <v>716.56987500000014</v>
      </c>
      <c r="N28" s="2">
        <f>M28*1.05</f>
        <v>752.39836875000015</v>
      </c>
      <c r="O28" s="2">
        <f>N28*1.05</f>
        <v>790.01828718750016</v>
      </c>
    </row>
    <row r="30" spans="1:80" x14ac:dyDescent="0.25">
      <c r="A30" s="2" t="s">
        <v>13</v>
      </c>
      <c r="H30" s="4">
        <f t="shared" ref="H30:O30" si="23">H15/H6</f>
        <v>0</v>
      </c>
      <c r="I30" s="4">
        <f t="shared" si="23"/>
        <v>0.34243212411590235</v>
      </c>
      <c r="J30" s="4">
        <f t="shared" si="23"/>
        <v>0.36852120558849144</v>
      </c>
      <c r="K30" s="4">
        <f t="shared" si="23"/>
        <v>0.38794053392974892</v>
      </c>
      <c r="L30" s="4">
        <f t="shared" si="23"/>
        <v>0.40824310138783021</v>
      </c>
      <c r="M30" s="4">
        <f t="shared" si="23"/>
        <v>0.41566116893686483</v>
      </c>
      <c r="N30" s="4">
        <f t="shared" si="23"/>
        <v>0.42315209409743237</v>
      </c>
      <c r="O30" s="4">
        <f t="shared" si="23"/>
        <v>0.43071021155496891</v>
      </c>
    </row>
    <row r="31" spans="1:80" x14ac:dyDescent="0.25">
      <c r="A31" s="2" t="s">
        <v>14</v>
      </c>
      <c r="H31" s="4">
        <f t="shared" ref="H31:O31" si="24">H26/H6</f>
        <v>0</v>
      </c>
      <c r="I31" s="4">
        <f t="shared" si="24"/>
        <v>-1.059091946155602E-2</v>
      </c>
      <c r="J31" s="4">
        <f t="shared" si="24"/>
        <v>9.9187430040213992E-2</v>
      </c>
      <c r="K31" s="4">
        <f t="shared" si="24"/>
        <v>5.6586311243763981E-2</v>
      </c>
      <c r="L31" s="4">
        <f t="shared" si="24"/>
        <v>8.480795724356005E-2</v>
      </c>
      <c r="M31" s="4">
        <f t="shared" si="24"/>
        <v>9.5463635821670223E-2</v>
      </c>
      <c r="N31" s="4">
        <f t="shared" si="24"/>
        <v>0.10598486395292492</v>
      </c>
      <c r="O31" s="4">
        <f t="shared" si="24"/>
        <v>0.11637518355697862</v>
      </c>
      <c r="Q31" s="2" t="s">
        <v>36</v>
      </c>
      <c r="R31" s="4">
        <v>0.06</v>
      </c>
    </row>
    <row r="32" spans="1:80" x14ac:dyDescent="0.25">
      <c r="A32" s="2" t="s">
        <v>56</v>
      </c>
      <c r="J32" s="4">
        <f>J25/J24</f>
        <v>-1.7088994565217355</v>
      </c>
      <c r="K32" s="4">
        <v>0.21</v>
      </c>
      <c r="L32" s="4">
        <v>0.21</v>
      </c>
      <c r="M32" s="4">
        <v>0.21</v>
      </c>
      <c r="N32" s="4">
        <v>0.21</v>
      </c>
      <c r="O32" s="4">
        <v>0.21</v>
      </c>
      <c r="Q32" s="2" t="s">
        <v>35</v>
      </c>
      <c r="R32" s="4">
        <v>0.01</v>
      </c>
    </row>
    <row r="33" spans="1:80" x14ac:dyDescent="0.25">
      <c r="Q33" s="2" t="s">
        <v>37</v>
      </c>
      <c r="R33" s="4">
        <v>0.08</v>
      </c>
    </row>
    <row r="34" spans="1:80" x14ac:dyDescent="0.25">
      <c r="A34" s="7" t="s">
        <v>42</v>
      </c>
      <c r="B34" s="7"/>
      <c r="C34" s="7"/>
      <c r="D34" s="7"/>
      <c r="E34" s="7"/>
      <c r="F34" s="7"/>
      <c r="G34" s="7"/>
      <c r="H34" s="8">
        <v>-0.01</v>
      </c>
      <c r="I34" s="8">
        <f t="shared" ref="I34:O34" si="25">I6/H6-1</f>
        <v>0.25007130226455998</v>
      </c>
      <c r="J34" s="8">
        <f t="shared" si="25"/>
        <v>0.10066164727355686</v>
      </c>
      <c r="K34" s="8">
        <f t="shared" si="25"/>
        <v>9.425832262344036E-2</v>
      </c>
      <c r="L34" s="8">
        <f t="shared" si="25"/>
        <v>9.8589437121714862E-2</v>
      </c>
      <c r="M34" s="8">
        <f t="shared" si="25"/>
        <v>6.7543315094819256E-2</v>
      </c>
      <c r="N34" s="8">
        <f t="shared" si="25"/>
        <v>6.8099833444725144E-2</v>
      </c>
      <c r="O34" s="8">
        <f t="shared" si="25"/>
        <v>6.8662078568377138E-2</v>
      </c>
      <c r="Q34" s="2" t="s">
        <v>38</v>
      </c>
      <c r="R34" s="2">
        <f>NPV(R33,K26:CB26)+Sheet1!H5-Sheet1!H6</f>
        <v>53443.962163187956</v>
      </c>
    </row>
    <row r="35" spans="1:80" x14ac:dyDescent="0.25">
      <c r="A35" s="2" t="s">
        <v>48</v>
      </c>
      <c r="Q35" s="2" t="s">
        <v>1</v>
      </c>
      <c r="R35" s="6">
        <f>R34/Sheet1!H3</f>
        <v>86.283439075214659</v>
      </c>
    </row>
    <row r="36" spans="1:80" x14ac:dyDescent="0.25">
      <c r="A36" s="2" t="s">
        <v>49</v>
      </c>
      <c r="Q36" s="2" t="s">
        <v>39</v>
      </c>
      <c r="R36" s="4">
        <f>R35/Sheet1!H2-1</f>
        <v>0.4749305824823018</v>
      </c>
    </row>
    <row r="37" spans="1:80" s="3" customForma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</row>
    <row r="38" spans="1:80" x14ac:dyDescent="0.25">
      <c r="A38" s="2" t="s">
        <v>15</v>
      </c>
      <c r="B38" s="2">
        <v>489</v>
      </c>
      <c r="C38" s="2">
        <v>519</v>
      </c>
      <c r="D38" s="2">
        <v>685</v>
      </c>
      <c r="E38" s="2">
        <v>14</v>
      </c>
      <c r="J38" s="2">
        <v>1707</v>
      </c>
    </row>
    <row r="39" spans="1:80" x14ac:dyDescent="0.25">
      <c r="A39" s="2" t="s">
        <v>40</v>
      </c>
    </row>
    <row r="40" spans="1:80" x14ac:dyDescent="0.25">
      <c r="A40" s="2" t="s">
        <v>7</v>
      </c>
    </row>
    <row r="42" spans="1:80" x14ac:dyDescent="0.25">
      <c r="A42" s="2" t="s">
        <v>26</v>
      </c>
    </row>
    <row r="43" spans="1:80" x14ac:dyDescent="0.25">
      <c r="A43" s="2" t="s">
        <v>27</v>
      </c>
      <c r="H43" s="4">
        <f t="shared" ref="H43:O43" si="26">H31+H34</f>
        <v>-0.01</v>
      </c>
      <c r="I43" s="4">
        <f t="shared" si="26"/>
        <v>0.23948038280300396</v>
      </c>
      <c r="J43" s="4">
        <f t="shared" si="26"/>
        <v>0.19984907731377086</v>
      </c>
      <c r="K43" s="4">
        <f t="shared" si="26"/>
        <v>0.15084463386720434</v>
      </c>
      <c r="L43" s="4">
        <f t="shared" si="26"/>
        <v>0.18339739436527491</v>
      </c>
      <c r="M43" s="4">
        <f t="shared" si="26"/>
        <v>0.16300695091648948</v>
      </c>
      <c r="N43" s="4">
        <f t="shared" si="26"/>
        <v>0.17408469739765006</v>
      </c>
      <c r="O43" s="4">
        <f t="shared" si="26"/>
        <v>0.18503726212535576</v>
      </c>
    </row>
    <row r="45" spans="1:80" x14ac:dyDescent="0.25">
      <c r="A45" s="2" t="s">
        <v>50</v>
      </c>
      <c r="I45" s="4"/>
      <c r="J45" s="4">
        <f t="shared" ref="J45:K48" si="27">J2/I2-1</f>
        <v>4.7250328567130628E-2</v>
      </c>
      <c r="K45" s="4">
        <f t="shared" si="27"/>
        <v>5.0000000000000044E-2</v>
      </c>
      <c r="L45" s="4">
        <f t="shared" ref="L45:O45" si="28">L2/K2-1</f>
        <v>5.0000000000000044E-2</v>
      </c>
      <c r="M45" s="4">
        <f t="shared" si="28"/>
        <v>5.0000000000000044E-2</v>
      </c>
      <c r="N45" s="4">
        <f t="shared" si="28"/>
        <v>5.0000000000000044E-2</v>
      </c>
      <c r="O45" s="4">
        <f t="shared" si="28"/>
        <v>5.0000000000000044E-2</v>
      </c>
    </row>
    <row r="46" spans="1:80" x14ac:dyDescent="0.25">
      <c r="A46" s="2" t="s">
        <v>51</v>
      </c>
      <c r="J46" s="4">
        <f t="shared" si="27"/>
        <v>0.20522136993675133</v>
      </c>
      <c r="K46" s="4">
        <f t="shared" si="27"/>
        <v>0.19999999999999996</v>
      </c>
      <c r="L46" s="4">
        <f t="shared" ref="L46:O46" si="29">L3/K3-1</f>
        <v>0.19999999999999996</v>
      </c>
      <c r="M46" s="4">
        <f t="shared" si="29"/>
        <v>0.10000000000000009</v>
      </c>
      <c r="N46" s="4">
        <f t="shared" si="29"/>
        <v>0.10000000000000009</v>
      </c>
      <c r="O46" s="4">
        <f t="shared" si="29"/>
        <v>0.10000000000000009</v>
      </c>
    </row>
    <row r="47" spans="1:80" x14ac:dyDescent="0.25">
      <c r="A47" s="2" t="s">
        <v>52</v>
      </c>
      <c r="J47" s="4">
        <f t="shared" si="27"/>
        <v>-8.8422391857506222E-2</v>
      </c>
      <c r="K47" s="4">
        <f t="shared" si="27"/>
        <v>0</v>
      </c>
      <c r="L47" s="4">
        <f t="shared" ref="L47:O47" si="30">L4/K4-1</f>
        <v>0</v>
      </c>
      <c r="M47" s="4">
        <f t="shared" si="30"/>
        <v>0</v>
      </c>
      <c r="N47" s="4">
        <f t="shared" si="30"/>
        <v>0</v>
      </c>
      <c r="O47" s="4">
        <f t="shared" si="30"/>
        <v>0</v>
      </c>
    </row>
    <row r="48" spans="1:80" x14ac:dyDescent="0.25">
      <c r="A48" s="2" t="s">
        <v>53</v>
      </c>
      <c r="J48" s="4">
        <f t="shared" si="27"/>
        <v>9.7552462300959633</v>
      </c>
      <c r="K48" s="4">
        <f t="shared" si="27"/>
        <v>5.0000000000000044E-2</v>
      </c>
      <c r="L48" s="4">
        <f t="shared" ref="L48:O48" si="31">L5/K5-1</f>
        <v>5.0000000000000044E-2</v>
      </c>
      <c r="M48" s="4">
        <f t="shared" si="31"/>
        <v>5.0000000000000044E-2</v>
      </c>
      <c r="N48" s="4">
        <f t="shared" si="31"/>
        <v>5.0000000000000044E-2</v>
      </c>
      <c r="O48" s="4">
        <f t="shared" si="31"/>
        <v>5.0000000000000044E-2</v>
      </c>
    </row>
  </sheetData>
  <pageMargins left="0.7" right="0.7" top="0.75" bottom="0.75" header="0.3" footer="0.3"/>
  <pageSetup orientation="portrait" r:id="rId1"/>
  <ignoredErrors>
    <ignoredError sqref="J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2025-02-24T11:07:20Z</dcterms:created>
  <dcterms:modified xsi:type="dcterms:W3CDTF">2025-04-28T20:24:35Z</dcterms:modified>
</cp:coreProperties>
</file>