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425D009A-191E-4EF3-A620-EE58A936CB09}" xr6:coauthVersionLast="47" xr6:coauthVersionMax="47" xr10:uidLastSave="{00000000-0000-0000-0000-000000000000}"/>
  <bookViews>
    <workbookView xWindow="7275" yWindow="855" windowWidth="20745" windowHeight="14475" activeTab="1" xr2:uid="{59A50694-CE02-43AA-9A79-230E58E3805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7" i="2" l="1"/>
  <c r="Y97" i="2"/>
  <c r="Z97" i="2"/>
  <c r="W97" i="2"/>
  <c r="W84" i="2"/>
  <c r="X84" i="2"/>
  <c r="Y84" i="2" s="1"/>
  <c r="Z84" i="2" s="1"/>
  <c r="V84" i="2"/>
  <c r="W86" i="2"/>
  <c r="X86" i="2" s="1"/>
  <c r="Y86" i="2" s="1"/>
  <c r="Z86" i="2" s="1"/>
  <c r="W87" i="2"/>
  <c r="X87" i="2" s="1"/>
  <c r="Y87" i="2" s="1"/>
  <c r="Z87" i="2" s="1"/>
  <c r="W88" i="2"/>
  <c r="X88" i="2"/>
  <c r="Y88" i="2" s="1"/>
  <c r="Z88" i="2" s="1"/>
  <c r="W89" i="2"/>
  <c r="X89" i="2"/>
  <c r="Y89" i="2" s="1"/>
  <c r="Z89" i="2" s="1"/>
  <c r="W90" i="2"/>
  <c r="X90" i="2" s="1"/>
  <c r="Y90" i="2" s="1"/>
  <c r="Z90" i="2" s="1"/>
  <c r="W91" i="2"/>
  <c r="X91" i="2" s="1"/>
  <c r="Y91" i="2" s="1"/>
  <c r="Z91" i="2" s="1"/>
  <c r="W92" i="2"/>
  <c r="X92" i="2"/>
  <c r="Y92" i="2"/>
  <c r="Z92" i="2" s="1"/>
  <c r="W93" i="2"/>
  <c r="X93" i="2" s="1"/>
  <c r="Y93" i="2" s="1"/>
  <c r="Z93" i="2" s="1"/>
  <c r="W94" i="2"/>
  <c r="X94" i="2" s="1"/>
  <c r="Y94" i="2" s="1"/>
  <c r="Z94" i="2" s="1"/>
  <c r="W95" i="2"/>
  <c r="X95" i="2" s="1"/>
  <c r="Y95" i="2" s="1"/>
  <c r="Z95" i="2" s="1"/>
  <c r="V93" i="2"/>
  <c r="V92" i="2"/>
  <c r="V91" i="2"/>
  <c r="V90" i="2"/>
  <c r="V89" i="2"/>
  <c r="V88" i="2"/>
  <c r="V95" i="2"/>
  <c r="V94" i="2"/>
  <c r="V87" i="2"/>
  <c r="V86" i="2"/>
  <c r="V85" i="2"/>
  <c r="W51" i="2"/>
  <c r="X51" i="2" s="1"/>
  <c r="W52" i="2"/>
  <c r="W53" i="2"/>
  <c r="X53" i="2" s="1"/>
  <c r="Y53" i="2" s="1"/>
  <c r="Z53" i="2" s="1"/>
  <c r="W54" i="2"/>
  <c r="X54" i="2"/>
  <c r="Y54" i="2"/>
  <c r="Z54" i="2" s="1"/>
  <c r="V54" i="2"/>
  <c r="V53" i="2"/>
  <c r="V52" i="2"/>
  <c r="V51" i="2"/>
  <c r="V66" i="2"/>
  <c r="W66" i="2"/>
  <c r="X66" i="2"/>
  <c r="Y66" i="2"/>
  <c r="Z66" i="2"/>
  <c r="V76" i="2"/>
  <c r="W76" i="2"/>
  <c r="X76" i="2"/>
  <c r="Y76" i="2"/>
  <c r="Z76" i="2"/>
  <c r="W77" i="2"/>
  <c r="W78" i="2" s="1"/>
  <c r="X77" i="2"/>
  <c r="X78" i="2" s="1"/>
  <c r="Y77" i="2"/>
  <c r="Y78" i="2" s="1"/>
  <c r="Z77" i="2"/>
  <c r="Z78" i="2" s="1"/>
  <c r="Z58" i="2"/>
  <c r="V58" i="2"/>
  <c r="W58" i="2" s="1"/>
  <c r="X58" i="2" s="1"/>
  <c r="Y58" i="2" s="1"/>
  <c r="Z59" i="2"/>
  <c r="W59" i="2"/>
  <c r="X59" i="2"/>
  <c r="Y59" i="2"/>
  <c r="V59" i="2"/>
  <c r="V56" i="2"/>
  <c r="W102" i="2"/>
  <c r="V102" i="2"/>
  <c r="W85" i="2"/>
  <c r="X85" i="2" s="1"/>
  <c r="Y85" i="2" s="1"/>
  <c r="Z85" i="2" s="1"/>
  <c r="Z13" i="2"/>
  <c r="Y13" i="2"/>
  <c r="X13" i="2"/>
  <c r="W13" i="2"/>
  <c r="K20" i="2"/>
  <c r="L20" i="2" s="1"/>
  <c r="M20" i="2" s="1"/>
  <c r="J20" i="2"/>
  <c r="L16" i="2"/>
  <c r="M16" i="2"/>
  <c r="K16" i="2"/>
  <c r="X18" i="2"/>
  <c r="Y18" i="2" s="1"/>
  <c r="Z18" i="2" s="1"/>
  <c r="W18" i="2"/>
  <c r="X17" i="2"/>
  <c r="Y17" i="2" s="1"/>
  <c r="Z17" i="2" s="1"/>
  <c r="W17" i="2"/>
  <c r="X15" i="2"/>
  <c r="Y15" i="2" s="1"/>
  <c r="Z15" i="2" s="1"/>
  <c r="W15" i="2"/>
  <c r="J11" i="2"/>
  <c r="J15" i="2"/>
  <c r="J16" i="2"/>
  <c r="J17" i="2"/>
  <c r="J18" i="2"/>
  <c r="K15" i="2"/>
  <c r="L15" i="2" s="1"/>
  <c r="M15" i="2" s="1"/>
  <c r="K18" i="2"/>
  <c r="L18" i="2" s="1"/>
  <c r="M18" i="2" s="1"/>
  <c r="K17" i="2"/>
  <c r="L17" i="2" s="1"/>
  <c r="M17" i="2" s="1"/>
  <c r="J102" i="2"/>
  <c r="H10" i="2"/>
  <c r="I10" i="2"/>
  <c r="S13" i="2"/>
  <c r="T13" i="2"/>
  <c r="U13" i="2"/>
  <c r="T102" i="2"/>
  <c r="U102" i="2"/>
  <c r="S102" i="2"/>
  <c r="I102" i="2"/>
  <c r="C103" i="2"/>
  <c r="D103" i="2"/>
  <c r="E103" i="2"/>
  <c r="F103" i="2"/>
  <c r="G103" i="2"/>
  <c r="H103" i="2"/>
  <c r="J103" i="2"/>
  <c r="K103" i="2"/>
  <c r="B103" i="2"/>
  <c r="I99" i="2"/>
  <c r="I98" i="2"/>
  <c r="I96" i="2"/>
  <c r="V36" i="2"/>
  <c r="W36" i="2" s="1"/>
  <c r="X36" i="2" s="1"/>
  <c r="Y36" i="2" s="1"/>
  <c r="Z36" i="2" s="1"/>
  <c r="Q19" i="2"/>
  <c r="Q22" i="2" s="1"/>
  <c r="Q45" i="2" s="1"/>
  <c r="R19" i="2"/>
  <c r="R22" i="2" s="1"/>
  <c r="R45" i="2" s="1"/>
  <c r="S19" i="2"/>
  <c r="T19" i="2"/>
  <c r="U19" i="2"/>
  <c r="U47" i="2" s="1"/>
  <c r="P19" i="2"/>
  <c r="P22" i="2" s="1"/>
  <c r="P45" i="2" s="1"/>
  <c r="C19" i="2"/>
  <c r="D19" i="2"/>
  <c r="E19" i="2"/>
  <c r="F19" i="2"/>
  <c r="G19" i="2"/>
  <c r="H19" i="2"/>
  <c r="I19" i="2"/>
  <c r="B19" i="2"/>
  <c r="I5" i="1"/>
  <c r="W31" i="2"/>
  <c r="X31" i="2" s="1"/>
  <c r="Y31" i="2" s="1"/>
  <c r="Z31" i="2" s="1"/>
  <c r="E3" i="2"/>
  <c r="I3" i="2"/>
  <c r="I8" i="2"/>
  <c r="E8" i="2"/>
  <c r="D10" i="2"/>
  <c r="E10" i="2"/>
  <c r="T31" i="2"/>
  <c r="U31" i="2"/>
  <c r="F21" i="2"/>
  <c r="B21" i="2"/>
  <c r="U58" i="2"/>
  <c r="P27" i="2"/>
  <c r="P28" i="2" s="1"/>
  <c r="P56" i="2"/>
  <c r="Q28" i="2"/>
  <c r="G21" i="2"/>
  <c r="C21" i="2"/>
  <c r="D21" i="2"/>
  <c r="H21" i="2"/>
  <c r="H36" i="2"/>
  <c r="U99" i="2"/>
  <c r="T99" i="2"/>
  <c r="S99" i="2"/>
  <c r="U98" i="2"/>
  <c r="T98" i="2"/>
  <c r="S98" i="2"/>
  <c r="T96" i="2"/>
  <c r="U96" i="2"/>
  <c r="S96" i="2"/>
  <c r="V77" i="2" l="1"/>
  <c r="V78" i="2" s="1"/>
  <c r="Y51" i="2"/>
  <c r="X52" i="2"/>
  <c r="Y52" i="2" s="1"/>
  <c r="Z52" i="2" s="1"/>
  <c r="X102" i="2"/>
  <c r="Y102" i="2"/>
  <c r="Z102" i="2"/>
  <c r="J13" i="2"/>
  <c r="T47" i="2"/>
  <c r="M6" i="2"/>
  <c r="M13" i="2"/>
  <c r="K13" i="2"/>
  <c r="L13" i="2"/>
  <c r="S47" i="2"/>
  <c r="I103" i="2"/>
  <c r="V20" i="2"/>
  <c r="W20" i="2" s="1"/>
  <c r="X20" i="2" s="1"/>
  <c r="Y20" i="2" s="1"/>
  <c r="Z20" i="2" s="1"/>
  <c r="G22" i="2"/>
  <c r="E47" i="2"/>
  <c r="F22" i="2"/>
  <c r="J19" i="2"/>
  <c r="I47" i="2"/>
  <c r="B22" i="2"/>
  <c r="R47" i="2"/>
  <c r="Q47" i="2"/>
  <c r="H47" i="2"/>
  <c r="D47" i="2"/>
  <c r="C22" i="2"/>
  <c r="G47" i="2"/>
  <c r="F47" i="2"/>
  <c r="C47" i="2"/>
  <c r="D22" i="2"/>
  <c r="H22" i="2"/>
  <c r="J6" i="2"/>
  <c r="L6" i="2"/>
  <c r="K6" i="2"/>
  <c r="L48" i="2"/>
  <c r="M48" i="2"/>
  <c r="P24" i="2"/>
  <c r="P43" i="2" s="1"/>
  <c r="U103" i="2"/>
  <c r="S103" i="2"/>
  <c r="I75" i="2"/>
  <c r="I76" i="2" s="1"/>
  <c r="I65" i="2"/>
  <c r="I58" i="2"/>
  <c r="U75" i="2"/>
  <c r="U76" i="2" s="1"/>
  <c r="T75" i="2"/>
  <c r="T76" i="2" s="1"/>
  <c r="U65" i="2"/>
  <c r="T65" i="2"/>
  <c r="T58" i="2"/>
  <c r="T56" i="2" s="1"/>
  <c r="Z51" i="2" l="1"/>
  <c r="J47" i="2"/>
  <c r="U104" i="2"/>
  <c r="S104" i="2"/>
  <c r="T103" i="2"/>
  <c r="K19" i="2"/>
  <c r="V16" i="2"/>
  <c r="W16" i="2" s="1"/>
  <c r="X16" i="2" s="1"/>
  <c r="Y16" i="2" s="1"/>
  <c r="Z16" i="2" s="1"/>
  <c r="V18" i="2"/>
  <c r="V17" i="2"/>
  <c r="P49" i="2"/>
  <c r="P29" i="2"/>
  <c r="P32" i="2" s="1"/>
  <c r="Q24" i="2"/>
  <c r="Q38" i="2"/>
  <c r="Q49" i="2"/>
  <c r="I66" i="2"/>
  <c r="I77" i="2" s="1"/>
  <c r="I78" i="2" s="1"/>
  <c r="T66" i="2"/>
  <c r="T77" i="2" s="1"/>
  <c r="T78" i="2" s="1"/>
  <c r="U66" i="2"/>
  <c r="U77" i="2" s="1"/>
  <c r="C56" i="2"/>
  <c r="D56" i="2"/>
  <c r="E56" i="2"/>
  <c r="F56" i="2"/>
  <c r="G56" i="2"/>
  <c r="H56" i="2"/>
  <c r="I56" i="2"/>
  <c r="J30" i="2" s="1"/>
  <c r="B56" i="2"/>
  <c r="R56" i="2"/>
  <c r="S56" i="2"/>
  <c r="Q56" i="2"/>
  <c r="U56" i="2"/>
  <c r="V30" i="2" s="1"/>
  <c r="K47" i="2" l="1"/>
  <c r="V13" i="2"/>
  <c r="T104" i="2"/>
  <c r="L19" i="2"/>
  <c r="P44" i="2"/>
  <c r="U78" i="2"/>
  <c r="P40" i="2"/>
  <c r="P34" i="2"/>
  <c r="Q43" i="2"/>
  <c r="Q29" i="2"/>
  <c r="I21" i="2"/>
  <c r="E21" i="2"/>
  <c r="C28" i="2"/>
  <c r="D28" i="2"/>
  <c r="E28" i="2"/>
  <c r="F28" i="2"/>
  <c r="G28" i="2"/>
  <c r="H28" i="2"/>
  <c r="I28" i="2"/>
  <c r="D48" i="2"/>
  <c r="E48" i="2"/>
  <c r="F48" i="2"/>
  <c r="G48" i="2"/>
  <c r="H48" i="2"/>
  <c r="I48" i="2"/>
  <c r="J48" i="2"/>
  <c r="K48" i="2"/>
  <c r="C48" i="2"/>
  <c r="B28" i="2"/>
  <c r="E2" i="2"/>
  <c r="U48" i="2"/>
  <c r="T48" i="2"/>
  <c r="U21" i="2"/>
  <c r="U22" i="2" s="1"/>
  <c r="U45" i="2" s="1"/>
  <c r="T21" i="2"/>
  <c r="T22" i="2" s="1"/>
  <c r="T45" i="2" s="1"/>
  <c r="S21" i="2"/>
  <c r="S22" i="2" s="1"/>
  <c r="S45" i="2" s="1"/>
  <c r="R28" i="2"/>
  <c r="U28" i="2"/>
  <c r="T28" i="2"/>
  <c r="S28" i="2"/>
  <c r="I2" i="2"/>
  <c r="R1" i="2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I4" i="1"/>
  <c r="I7" i="1" s="1"/>
  <c r="I22" i="2" l="1"/>
  <c r="I45" i="2" s="1"/>
  <c r="J21" i="2"/>
  <c r="K21" i="2" s="1"/>
  <c r="L47" i="2"/>
  <c r="M19" i="2"/>
  <c r="V15" i="2"/>
  <c r="E4" i="2"/>
  <c r="E22" i="2"/>
  <c r="J22" i="2"/>
  <c r="I4" i="2"/>
  <c r="G24" i="2"/>
  <c r="D24" i="2"/>
  <c r="D43" i="2" s="1"/>
  <c r="C24" i="2"/>
  <c r="P42" i="2"/>
  <c r="Q32" i="2"/>
  <c r="Q44" i="2"/>
  <c r="R24" i="2"/>
  <c r="R43" i="2" s="1"/>
  <c r="T80" i="2"/>
  <c r="G38" i="2"/>
  <c r="H38" i="2"/>
  <c r="H24" i="2"/>
  <c r="V48" i="2"/>
  <c r="W48" i="2"/>
  <c r="S80" i="2"/>
  <c r="L21" i="2" l="1"/>
  <c r="K22" i="2"/>
  <c r="K23" i="2" s="1"/>
  <c r="J59" i="2"/>
  <c r="M47" i="2"/>
  <c r="V19" i="2"/>
  <c r="V47" i="2" s="1"/>
  <c r="F38" i="2"/>
  <c r="K38" i="2"/>
  <c r="K39" i="2"/>
  <c r="B80" i="2"/>
  <c r="B49" i="2"/>
  <c r="I39" i="2"/>
  <c r="I49" i="2"/>
  <c r="B24" i="2"/>
  <c r="B43" i="2" s="1"/>
  <c r="G80" i="2"/>
  <c r="G49" i="2"/>
  <c r="C80" i="2"/>
  <c r="C49" i="2"/>
  <c r="F39" i="2"/>
  <c r="E49" i="2"/>
  <c r="E80" i="2"/>
  <c r="F80" i="2"/>
  <c r="F49" i="2"/>
  <c r="C39" i="2"/>
  <c r="D49" i="2"/>
  <c r="D80" i="2"/>
  <c r="F24" i="2"/>
  <c r="F43" i="2" s="1"/>
  <c r="G39" i="2"/>
  <c r="D39" i="2"/>
  <c r="H39" i="2"/>
  <c r="H49" i="2"/>
  <c r="H80" i="2"/>
  <c r="J49" i="2"/>
  <c r="J38" i="2"/>
  <c r="D29" i="2"/>
  <c r="D32" i="2" s="1"/>
  <c r="Q34" i="2"/>
  <c r="Q40" i="2"/>
  <c r="R29" i="2"/>
  <c r="R44" i="2" s="1"/>
  <c r="R80" i="2"/>
  <c r="R49" i="2"/>
  <c r="R38" i="2"/>
  <c r="E24" i="2"/>
  <c r="E39" i="2"/>
  <c r="G29" i="2"/>
  <c r="G43" i="2"/>
  <c r="J39" i="2"/>
  <c r="C29" i="2"/>
  <c r="C43" i="2"/>
  <c r="H29" i="2"/>
  <c r="H43" i="2"/>
  <c r="I38" i="2"/>
  <c r="I80" i="2"/>
  <c r="U24" i="2"/>
  <c r="U43" i="2" s="1"/>
  <c r="U80" i="2"/>
  <c r="U38" i="2"/>
  <c r="U49" i="2"/>
  <c r="I24" i="2"/>
  <c r="T24" i="2"/>
  <c r="T49" i="2"/>
  <c r="S24" i="2"/>
  <c r="S43" i="2" s="1"/>
  <c r="S49" i="2"/>
  <c r="X48" i="2"/>
  <c r="T38" i="2"/>
  <c r="S38" i="2"/>
  <c r="Y48" i="2"/>
  <c r="M21" i="2" l="1"/>
  <c r="M22" i="2" s="1"/>
  <c r="M23" i="2" s="1"/>
  <c r="L22" i="2"/>
  <c r="N22" i="2" s="1"/>
  <c r="J26" i="2"/>
  <c r="J27" i="2"/>
  <c r="J25" i="2"/>
  <c r="K26" i="2"/>
  <c r="K25" i="2"/>
  <c r="K27" i="2"/>
  <c r="K49" i="2"/>
  <c r="W19" i="2"/>
  <c r="W47" i="2" s="1"/>
  <c r="B29" i="2"/>
  <c r="B32" i="2" s="1"/>
  <c r="B34" i="2" s="1"/>
  <c r="B42" i="2" s="1"/>
  <c r="F29" i="2"/>
  <c r="F32" i="2" s="1"/>
  <c r="F34" i="2" s="1"/>
  <c r="V21" i="2"/>
  <c r="L49" i="2"/>
  <c r="L38" i="2"/>
  <c r="D44" i="2"/>
  <c r="U29" i="2"/>
  <c r="U32" i="2" s="1"/>
  <c r="U34" i="2" s="1"/>
  <c r="U35" i="2" s="1"/>
  <c r="R32" i="2"/>
  <c r="R40" i="2" s="1"/>
  <c r="Q42" i="2"/>
  <c r="H32" i="2"/>
  <c r="H44" i="2"/>
  <c r="C32" i="2"/>
  <c r="C44" i="2"/>
  <c r="I29" i="2"/>
  <c r="I43" i="2"/>
  <c r="G32" i="2"/>
  <c r="G44" i="2"/>
  <c r="E29" i="2"/>
  <c r="E43" i="2"/>
  <c r="D34" i="2"/>
  <c r="D40" i="2"/>
  <c r="S29" i="2"/>
  <c r="S44" i="2" s="1"/>
  <c r="T43" i="2"/>
  <c r="T29" i="2"/>
  <c r="V22" i="2" l="1"/>
  <c r="L23" i="2"/>
  <c r="L39" i="2"/>
  <c r="F40" i="2"/>
  <c r="B40" i="2"/>
  <c r="F44" i="2"/>
  <c r="L27" i="2"/>
  <c r="L25" i="2"/>
  <c r="L26" i="2"/>
  <c r="W21" i="2"/>
  <c r="X21" i="2" s="1"/>
  <c r="Y21" i="2" s="1"/>
  <c r="Z21" i="2" s="1"/>
  <c r="B82" i="2"/>
  <c r="B35" i="2"/>
  <c r="X19" i="2"/>
  <c r="X47" i="2" s="1"/>
  <c r="B44" i="2"/>
  <c r="U40" i="2"/>
  <c r="R34" i="2"/>
  <c r="R42" i="2" s="1"/>
  <c r="U44" i="2"/>
  <c r="M49" i="2"/>
  <c r="M38" i="2"/>
  <c r="M39" i="2"/>
  <c r="F42" i="2"/>
  <c r="F35" i="2"/>
  <c r="F82" i="2"/>
  <c r="D42" i="2"/>
  <c r="D35" i="2"/>
  <c r="D82" i="2"/>
  <c r="G34" i="2"/>
  <c r="G35" i="2" s="1"/>
  <c r="G40" i="2"/>
  <c r="I32" i="2"/>
  <c r="I44" i="2"/>
  <c r="C34" i="2"/>
  <c r="C35" i="2" s="1"/>
  <c r="C40" i="2"/>
  <c r="E32" i="2"/>
  <c r="E44" i="2"/>
  <c r="H34" i="2"/>
  <c r="H40" i="2"/>
  <c r="S32" i="2"/>
  <c r="S40" i="2" s="1"/>
  <c r="U42" i="2"/>
  <c r="U82" i="2"/>
  <c r="T32" i="2"/>
  <c r="T44" i="2"/>
  <c r="Z48" i="2"/>
  <c r="W22" i="2" l="1"/>
  <c r="W38" i="2" s="1"/>
  <c r="M25" i="2"/>
  <c r="M26" i="2"/>
  <c r="M27" i="2"/>
  <c r="Z19" i="2"/>
  <c r="Y19" i="2"/>
  <c r="Y47" i="2" s="1"/>
  <c r="V38" i="2"/>
  <c r="V49" i="2"/>
  <c r="X22" i="2"/>
  <c r="H42" i="2"/>
  <c r="H35" i="2"/>
  <c r="H82" i="2"/>
  <c r="G42" i="2"/>
  <c r="G82" i="2"/>
  <c r="C42" i="2"/>
  <c r="C82" i="2"/>
  <c r="E34" i="2"/>
  <c r="E40" i="2"/>
  <c r="S34" i="2"/>
  <c r="I34" i="2"/>
  <c r="I40" i="2"/>
  <c r="S42" i="2"/>
  <c r="T40" i="2"/>
  <c r="T34" i="2"/>
  <c r="Z47" i="2" l="1"/>
  <c r="W49" i="2"/>
  <c r="Y22" i="2"/>
  <c r="V27" i="2"/>
  <c r="V26" i="2"/>
  <c r="V25" i="2"/>
  <c r="I42" i="2"/>
  <c r="I35" i="2"/>
  <c r="I82" i="2"/>
  <c r="E42" i="2"/>
  <c r="E35" i="2"/>
  <c r="E82" i="2"/>
  <c r="S82" i="2"/>
  <c r="T42" i="2"/>
  <c r="T82" i="2"/>
  <c r="W27" i="2" l="1"/>
  <c r="W26" i="2"/>
  <c r="X49" i="2"/>
  <c r="X38" i="2"/>
  <c r="V28" i="2"/>
  <c r="W25" i="2"/>
  <c r="X25" i="2" l="1"/>
  <c r="Z22" i="2"/>
  <c r="Z38" i="2" s="1"/>
  <c r="Y49" i="2"/>
  <c r="Y38" i="2"/>
  <c r="X26" i="2"/>
  <c r="X27" i="2"/>
  <c r="Y25" i="2" l="1"/>
  <c r="Z25" i="2" s="1"/>
  <c r="Y27" i="2"/>
  <c r="Z27" i="2" s="1"/>
  <c r="Y26" i="2"/>
  <c r="Z26" i="2" s="1"/>
  <c r="Z49" i="2"/>
  <c r="Y28" i="2" l="1"/>
  <c r="X28" i="2"/>
  <c r="W28" i="2"/>
  <c r="Z28" i="2"/>
  <c r="W23" i="2"/>
  <c r="W24" i="2" s="1"/>
  <c r="W29" i="2" l="1"/>
  <c r="W44" i="2" s="1"/>
  <c r="X23" i="2" l="1"/>
  <c r="X24" i="2" s="1"/>
  <c r="X29" i="2" s="1"/>
  <c r="X44" i="2" l="1"/>
  <c r="Z23" i="2"/>
  <c r="Z24" i="2" s="1"/>
  <c r="Z29" i="2" s="1"/>
  <c r="Y23" i="2"/>
  <c r="Y24" i="2" s="1"/>
  <c r="Y29" i="2" s="1"/>
  <c r="Y44" i="2" l="1"/>
  <c r="Z44" i="2"/>
  <c r="J28" i="2" l="1"/>
  <c r="K28" i="2"/>
  <c r="M28" i="2" l="1"/>
  <c r="L28" i="2"/>
  <c r="M24" i="2"/>
  <c r="L24" i="2"/>
  <c r="L29" i="2" s="1"/>
  <c r="L44" i="2" s="1"/>
  <c r="J23" i="2"/>
  <c r="K24" i="2"/>
  <c r="K29" i="2" s="1"/>
  <c r="M29" i="2" l="1"/>
  <c r="M44" i="2" s="1"/>
  <c r="K32" i="2"/>
  <c r="K44" i="2"/>
  <c r="M32" i="2"/>
  <c r="K33" i="2"/>
  <c r="K34" i="2" s="1"/>
  <c r="L32" i="2"/>
  <c r="V23" i="2"/>
  <c r="V24" i="2" s="1"/>
  <c r="V29" i="2" s="1"/>
  <c r="J24" i="2"/>
  <c r="J29" i="2" s="1"/>
  <c r="K42" i="2" l="1"/>
  <c r="K35" i="2"/>
  <c r="K82" i="2"/>
  <c r="K83" i="2" s="1"/>
  <c r="V32" i="2"/>
  <c r="V44" i="2"/>
  <c r="J32" i="2"/>
  <c r="J44" i="2"/>
  <c r="L33" i="2"/>
  <c r="L34" i="2" s="1"/>
  <c r="L82" i="2" s="1"/>
  <c r="L83" i="2" s="1"/>
  <c r="M33" i="2"/>
  <c r="M34" i="2" s="1"/>
  <c r="M82" i="2" s="1"/>
  <c r="M83" i="2" s="1"/>
  <c r="L35" i="2" l="1"/>
  <c r="L42" i="2"/>
  <c r="M35" i="2"/>
  <c r="M42" i="2"/>
  <c r="J33" i="2"/>
  <c r="J34" i="2" s="1"/>
  <c r="J58" i="2" s="1"/>
  <c r="V33" i="2"/>
  <c r="V34" i="2" s="1"/>
  <c r="J56" i="2" l="1"/>
  <c r="K58" i="2"/>
  <c r="V82" i="2"/>
  <c r="V83" i="2" s="1"/>
  <c r="V42" i="2"/>
  <c r="V35" i="2"/>
  <c r="J82" i="2"/>
  <c r="J83" i="2" s="1"/>
  <c r="J35" i="2"/>
  <c r="J42" i="2"/>
  <c r="K56" i="2" l="1"/>
  <c r="L58" i="2"/>
  <c r="W30" i="2"/>
  <c r="W32" i="2" s="1"/>
  <c r="M58" i="2" l="1"/>
  <c r="M56" i="2" s="1"/>
  <c r="L56" i="2"/>
  <c r="W33" i="2"/>
  <c r="W34" i="2" s="1"/>
  <c r="W56" i="2" s="1"/>
  <c r="W42" i="2" l="1"/>
  <c r="W35" i="2"/>
  <c r="W82" i="2"/>
  <c r="W83" i="2" s="1"/>
  <c r="X30" i="2" l="1"/>
  <c r="X32" i="2" s="1"/>
  <c r="X33" i="2" l="1"/>
  <c r="X34" i="2" s="1"/>
  <c r="X56" i="2" s="1"/>
  <c r="X82" i="2" l="1"/>
  <c r="X83" i="2" s="1"/>
  <c r="X35" i="2"/>
  <c r="X42" i="2"/>
  <c r="Y30" i="2" l="1"/>
  <c r="Y32" i="2" s="1"/>
  <c r="Y33" i="2" l="1"/>
  <c r="Y34" i="2" s="1"/>
  <c r="Y56" i="2" s="1"/>
  <c r="Y42" i="2" l="1"/>
  <c r="Y82" i="2"/>
  <c r="Y83" i="2" s="1"/>
  <c r="Y35" i="2"/>
  <c r="Z30" i="2" l="1"/>
  <c r="Z32" i="2" s="1"/>
  <c r="Z33" i="2" l="1"/>
  <c r="Z34" i="2" s="1"/>
  <c r="Z56" i="2" s="1"/>
  <c r="Z42" i="2" l="1"/>
  <c r="Z82" i="2"/>
  <c r="Z83" i="2" s="1"/>
  <c r="Z35" i="2"/>
  <c r="AA34" i="2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HL34" i="2" s="1"/>
  <c r="K59" i="2" l="1"/>
  <c r="L59" i="2"/>
  <c r="M59" i="2"/>
  <c r="X96" i="2" l="1"/>
  <c r="X103" i="2" s="1"/>
  <c r="X104" i="2" s="1"/>
  <c r="V96" i="2"/>
  <c r="V103" i="2" s="1"/>
  <c r="V45" i="2" s="1"/>
  <c r="W96" i="2"/>
  <c r="W103" i="2" s="1"/>
  <c r="X45" i="2" l="1"/>
  <c r="W45" i="2"/>
  <c r="W104" i="2"/>
  <c r="Y96" i="2"/>
  <c r="Y103" i="2" s="1"/>
  <c r="Z96" i="2"/>
  <c r="Z103" i="2" s="1"/>
  <c r="V104" i="2"/>
  <c r="Z45" i="2" l="1"/>
  <c r="AA103" i="2"/>
  <c r="Z104" i="2"/>
  <c r="Y45" i="2"/>
  <c r="Y104" i="2"/>
  <c r="AB103" i="2" l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BK103" i="2" s="1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CI103" i="2" s="1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CU103" i="2" s="1"/>
  <c r="CV103" i="2" s="1"/>
  <c r="CW103" i="2" s="1"/>
  <c r="CX103" i="2" s="1"/>
  <c r="CY103" i="2" s="1"/>
  <c r="CZ103" i="2" s="1"/>
  <c r="DA103" i="2" s="1"/>
  <c r="DB103" i="2" s="1"/>
  <c r="DC103" i="2" s="1"/>
  <c r="DD103" i="2" s="1"/>
  <c r="DE103" i="2" s="1"/>
  <c r="DF103" i="2" s="1"/>
  <c r="DG103" i="2" s="1"/>
  <c r="DH103" i="2" s="1"/>
  <c r="DI103" i="2" s="1"/>
  <c r="DJ103" i="2" s="1"/>
  <c r="DK103" i="2" s="1"/>
  <c r="DL103" i="2" s="1"/>
  <c r="DM103" i="2" s="1"/>
  <c r="DN103" i="2" s="1"/>
  <c r="DO103" i="2" s="1"/>
  <c r="DP103" i="2" s="1"/>
  <c r="DQ103" i="2" s="1"/>
  <c r="DR103" i="2" s="1"/>
  <c r="DS103" i="2" s="1"/>
  <c r="DT103" i="2" s="1"/>
  <c r="DU103" i="2" s="1"/>
  <c r="DV103" i="2" s="1"/>
  <c r="DW103" i="2" s="1"/>
  <c r="DX103" i="2" s="1"/>
  <c r="DY103" i="2" s="1"/>
  <c r="DZ103" i="2" s="1"/>
  <c r="EA103" i="2" s="1"/>
  <c r="EB103" i="2" s="1"/>
  <c r="EC103" i="2" s="1"/>
  <c r="ED103" i="2" s="1"/>
  <c r="EE103" i="2" s="1"/>
  <c r="EF103" i="2" s="1"/>
  <c r="EG103" i="2" s="1"/>
  <c r="EH103" i="2" s="1"/>
  <c r="EI103" i="2" s="1"/>
  <c r="EJ103" i="2" s="1"/>
  <c r="EK103" i="2" s="1"/>
  <c r="EL103" i="2" s="1"/>
  <c r="EM103" i="2" s="1"/>
  <c r="EN103" i="2" s="1"/>
  <c r="EO103" i="2" s="1"/>
  <c r="EP103" i="2" s="1"/>
  <c r="EQ103" i="2" s="1"/>
  <c r="ER103" i="2" s="1"/>
  <c r="ES103" i="2" s="1"/>
  <c r="ET103" i="2" s="1"/>
  <c r="EU103" i="2" s="1"/>
  <c r="EV103" i="2" s="1"/>
  <c r="EW103" i="2" s="1"/>
  <c r="EX103" i="2" s="1"/>
  <c r="EY103" i="2" s="1"/>
  <c r="EZ103" i="2" s="1"/>
  <c r="FA103" i="2" s="1"/>
  <c r="FB103" i="2" s="1"/>
  <c r="FC103" i="2" s="1"/>
  <c r="FD103" i="2" s="1"/>
  <c r="FE103" i="2" s="1"/>
  <c r="FF103" i="2" s="1"/>
  <c r="FG103" i="2" s="1"/>
  <c r="AC99" i="2" l="1"/>
  <c r="AC100" i="2" s="1"/>
  <c r="AC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tc={BBA5EC10-660F-4668-82DF-4AE7F04E7042}</author>
    <author>tc={1BE046AC-F3FB-43EE-AECA-81905FEF9CD1}</author>
    <author>tc={48472E7E-10B8-4095-8B32-362E14E59AC2}</author>
    <author>tc={4C15ACA3-2BFB-48FE-85C1-4875F9329530}</author>
  </authors>
  <commentList>
    <comment ref="B6" authorId="0" shapeId="0" xr:uid="{BBA5EC10-660F-4668-82DF-4AE7F04E7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Petco used Demand Gen campaigns across targeting, creative generation and bidding to find new pet parent audiences across YouTube. They achieved a 275% higher return on ad spend and a 74% higher click through rate than their social benchmarks.
</t>
      </text>
    </comment>
    <comment ref="B7" authorId="1" shapeId="0" xr:uid="{1BE046AC-F3FB-43EE-AECA-81905FEF9C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the Nielsen meta analysis of marketing mixed models, on average, Google AI-powered video campaigns on YouTube deliver 17% higher return on advertising spend than manual campaigns.
</t>
      </text>
    </comment>
    <comment ref="B8" authorId="2" shapeId="0" xr:uid="{48472E7E-10B8-4095-8B32-362E14E59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First, the increase in our investment in CapEx over the past few years will increase pressure on the P&amp;L, primarily in the form of higher depreciation. 
Reply:
    Given the increasing CapEx investments over the past few years, we expect the growth rate in depreciation to accelerate in 2025.
</t>
      </text>
    </comment>
    <comment ref="B13" authorId="3" shapeId="0" xr:uid="{4C15ACA3-2BFB-48FE-85C1-4875F93295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asset generation in PMax, Event Tickets Center achieved a 5 times increase in production of creative assets, saving time and effort. They also increased conversions by 300% compared to the previous period when they used manual assets.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tc={6FF532F1-830D-4259-9AB9-82FDC064399F}</author>
    <author>tc={B99DE3B8-CC20-4BAA-9DF2-73E63E2833F9}</author>
    <author>tc={27A2C0CB-24DD-49C9-8CEA-49FE631EF8FB}</author>
    <author>tc={096FB016-FF97-4145-90B3-BC82A38B1387}</author>
    <author>tc={1E7D3402-EC2F-4E86-9BC9-486984C5E5A7}</author>
    <author>tc={CC9FFDAD-5D8D-42AF-A282-F7603C497A52}</author>
    <author>tc={3B68AEFE-707F-4EB5-AB45-6DCA4A93072B}</author>
    <author>tc={B2A26FD5-756A-4436-88C9-DC45B78A3F12}</author>
    <author>tc={50D81D40-768D-4E6C-B865-C43BC614BF3C}</author>
  </authors>
  <commentList>
    <comment ref="L10" authorId="0" shapeId="0" xr:uid="{6FF532F1-830D-4259-9AB9-82FDC06439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Normalized </t>
      </text>
    </comment>
    <comment ref="V13" authorId="1" shapeId="0" xr:uid="{B99DE3B8-CC20-4BAA-9DF2-73E63E2833F9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W13" authorId="2" shapeId="0" xr:uid="{27A2C0CB-24DD-49C9-8CEA-49FE631EF8FB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X13" authorId="3" shapeId="0" xr:uid="{096FB016-FF97-4145-90B3-BC82A38B1387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Y13" authorId="4" shapeId="0" xr:uid="{1E7D3402-EC2F-4E86-9BC9-486984C5E5A7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Z13" authorId="5" shapeId="0" xr:uid="{CC9FFDAD-5D8D-42AF-A282-F7603C497A52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J73" authorId="6" shapeId="0" xr:uid="{3B68AEFE-707F-4EB5-AB45-6DCA4A93072B}">
      <text>
        <t>[Threaded comment]
Your version of Excel allows you to read this threaded comment; however, any edits to it will get removed if the file is opened in a newer version of Excel. Learn more: https://go.microsoft.com/fwlink/?linkid=870924
Comment:
    "16B-18B Debt 1st Quarter"</t>
      </text>
    </comment>
    <comment ref="J100" authorId="7" shapeId="0" xr:uid="{B2A26FD5-756A-4436-88C9-DC45B78A3F12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Wiz</t>
      </text>
    </comment>
    <comment ref="V102" authorId="8" shapeId="0" xr:uid="{50D81D40-768D-4E6C-B865-C43BC614BF3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75 bil in CAPEX 2025”</t>
      </text>
    </comment>
  </commentList>
</comments>
</file>

<file path=xl/sharedStrings.xml><?xml version="1.0" encoding="utf-8"?>
<sst xmlns="http://schemas.openxmlformats.org/spreadsheetml/2006/main" count="142" uniqueCount="125">
  <si>
    <t>GOOGL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</si>
  <si>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</si>
  <si>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</si>
  <si>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</si>
  <si>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</si>
  <si>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</si>
  <si>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</si>
  <si>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</si>
  <si>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</si>
  <si>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</si>
  <si>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</si>
  <si>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</si>
  <si>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</si>
  <si>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Interest</t>
  </si>
  <si>
    <t>Other</t>
  </si>
  <si>
    <t>Tax</t>
  </si>
  <si>
    <t>Pretax Income</t>
  </si>
  <si>
    <t>Net Income</t>
  </si>
  <si>
    <t>Gross Margin</t>
  </si>
  <si>
    <t>Operating Margin</t>
  </si>
  <si>
    <t>CFFO</t>
  </si>
  <si>
    <t>FCF</t>
  </si>
  <si>
    <t>Q124</t>
  </si>
  <si>
    <t>Q224</t>
  </si>
  <si>
    <t>Q324</t>
  </si>
  <si>
    <t>Q424</t>
  </si>
  <si>
    <t>Q125</t>
  </si>
  <si>
    <t>Q225</t>
  </si>
  <si>
    <t>NPV</t>
  </si>
  <si>
    <t>Maturity</t>
  </si>
  <si>
    <t>Discount</t>
  </si>
  <si>
    <t>Diff</t>
  </si>
  <si>
    <t>Tax Rate</t>
  </si>
  <si>
    <t>Google Search</t>
  </si>
  <si>
    <t>YouTube Ads</t>
  </si>
  <si>
    <t>Google Network</t>
  </si>
  <si>
    <t>Google Cloud</t>
  </si>
  <si>
    <t>Subscriptions, Devices</t>
  </si>
  <si>
    <t>Google Cloud Growth</t>
  </si>
  <si>
    <t>Q123</t>
  </si>
  <si>
    <t>Q223</t>
  </si>
  <si>
    <t>Q323</t>
  </si>
  <si>
    <t>Q423</t>
  </si>
  <si>
    <t>Revenue Growth y/y</t>
  </si>
  <si>
    <t>Revenue Growth q/q</t>
  </si>
  <si>
    <t>Net Margin</t>
  </si>
  <si>
    <t>AR</t>
  </si>
  <si>
    <t>AP</t>
  </si>
  <si>
    <t>Operating Income</t>
  </si>
  <si>
    <t>Operating Expenses</t>
  </si>
  <si>
    <t>PP&amp;E</t>
  </si>
  <si>
    <t>EPS</t>
  </si>
  <si>
    <t>Compensation</t>
  </si>
  <si>
    <t>Cloud % of Rev</t>
  </si>
  <si>
    <t>Net Cash</t>
  </si>
  <si>
    <t>ROIC</t>
  </si>
  <si>
    <t>DSO</t>
  </si>
  <si>
    <t>Model NI</t>
  </si>
  <si>
    <t>Reported NI</t>
  </si>
  <si>
    <t>Assets</t>
  </si>
  <si>
    <t>Liabilities</t>
  </si>
  <si>
    <t>SE</t>
  </si>
  <si>
    <t>L+SE</t>
  </si>
  <si>
    <t>Non-marketable Securities</t>
  </si>
  <si>
    <t>Deferred Tax</t>
  </si>
  <si>
    <t>Operating Lease Assets</t>
  </si>
  <si>
    <t>Goodwill</t>
  </si>
  <si>
    <t>Expenses</t>
  </si>
  <si>
    <t>Revenue Share</t>
  </si>
  <si>
    <t>Deferred Revenue</t>
  </si>
  <si>
    <t>Operating + Other Liabilities</t>
  </si>
  <si>
    <t>Noncurrent Tax</t>
  </si>
  <si>
    <t>D&amp;A</t>
  </si>
  <si>
    <t>Stock Compensation</t>
  </si>
  <si>
    <t>Gain on Securities</t>
  </si>
  <si>
    <t>Other Assets</t>
  </si>
  <si>
    <t>Accured Expenses</t>
  </si>
  <si>
    <t>Accured Revenue Share</t>
  </si>
  <si>
    <t>Purchases of PP&amp;E</t>
  </si>
  <si>
    <t>Purchases of Securities</t>
  </si>
  <si>
    <t>Sales of Securities</t>
  </si>
  <si>
    <t>Acquisitions, Intangible Assets</t>
  </si>
  <si>
    <t>Other Investing</t>
  </si>
  <si>
    <t>CAPEX</t>
  </si>
  <si>
    <t>United States Rev</t>
  </si>
  <si>
    <t>EMEA Rev</t>
  </si>
  <si>
    <t>APAC Rev</t>
  </si>
  <si>
    <t>Other Americas Rev</t>
  </si>
  <si>
    <t>TAC</t>
  </si>
  <si>
    <t>Employees</t>
  </si>
  <si>
    <t>DT</t>
  </si>
  <si>
    <t>"Google Cloud will fluctuate on deployment" Capacity Constraints</t>
  </si>
  <si>
    <t>Q325</t>
  </si>
  <si>
    <t>Q425</t>
  </si>
  <si>
    <t>acquire Wiz for 32B</t>
  </si>
  <si>
    <t>Cloud and YouTube exit 2024 at annual run rate of 110B revenue</t>
  </si>
  <si>
    <t>TAC - traffic acquisition costs</t>
  </si>
  <si>
    <t>Services OI</t>
  </si>
  <si>
    <t>Cloud OI</t>
  </si>
  <si>
    <t>Other OI</t>
  </si>
  <si>
    <t>Alphabet-level OI</t>
  </si>
  <si>
    <t>Services OM</t>
  </si>
  <si>
    <t>Cloud OM</t>
  </si>
  <si>
    <t>Other OM</t>
  </si>
  <si>
    <t>Total Services</t>
  </si>
  <si>
    <t>Services</t>
  </si>
  <si>
    <t>notes:</t>
  </si>
  <si>
    <t>FCF Margin</t>
  </si>
  <si>
    <t>YouTube + Cloud Rev</t>
  </si>
  <si>
    <t>"Demand Gen Ads 275% higher return on spend 74% higher clickthrough rate"</t>
  </si>
  <si>
    <t>Types of Ads</t>
  </si>
  <si>
    <t>Pmax</t>
  </si>
  <si>
    <t>Discovery</t>
  </si>
  <si>
    <t>"YouTube 17% higher return on advertising spend"</t>
  </si>
  <si>
    <t>TAC % of Rev</t>
  </si>
  <si>
    <t>"High CapEx . . . Higher depreciation"</t>
  </si>
  <si>
    <t>Q1 ESTIMATES</t>
  </si>
  <si>
    <t>Mine</t>
  </si>
  <si>
    <t>Actual</t>
  </si>
  <si>
    <t>Consensus</t>
  </si>
  <si>
    <t>Expected Move</t>
  </si>
  <si>
    <t>Actual Move</t>
  </si>
  <si>
    <t>No Change</t>
  </si>
  <si>
    <t>5% incr</t>
  </si>
  <si>
    <t>3% incr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</si>
</sst>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9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0" fontId="0" fillId="0" borderId="0" xfId="0" applyNumberFormat="1"/>
    <xf numFmtId="4" fontId="0" fillId="0" borderId="0" xfId="0" applyNumberFormat="1"/>
    <xf numFmtId="164" fontId="0" fillId="0" borderId="0" xfId="0" applyNumberForma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0</xdr:row>
      <xdr:rowOff>38100</xdr:rowOff>
    </xdr:from>
    <xdr:to>
      <xdr:col>8</xdr:col>
      <xdr:colOff>628650</xdr:colOff>
      <xdr:row>87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45C9DD-A662-F362-50EE-4050098C8359}"/>
            </a:ext>
          </a:extLst>
        </xdr:cNvPr>
        <xdr:cNvCxnSpPr/>
      </xdr:nvCxnSpPr>
      <xdr:spPr>
        <a:xfrm>
          <a:off x="6381750" y="38100"/>
          <a:ext cx="0" cy="16630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180975</xdr:rowOff>
    </xdr:from>
    <xdr:to>
      <xdr:col>21</xdr:col>
      <xdr:colOff>9525</xdr:colOff>
      <xdr:row>88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2D8D2F-DB3B-3C73-C886-0459698155E0}"/>
            </a:ext>
          </a:extLst>
        </xdr:cNvPr>
        <xdr:cNvCxnSpPr/>
      </xdr:nvCxnSpPr>
      <xdr:spPr>
        <a:xfrm flipH="1">
          <a:off x="14116050" y="180975"/>
          <a:ext cx="9525" cy="1674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3A2E8EA1-30C2-44C0-B0DD-30A8B6E5D02D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4-24T04:53:31.88" personId="{3A2E8EA1-30C2-44C0-B0DD-30A8B6E5D02D}" id="{BBA5EC10-660F-4668-82DF-4AE7F04E7042}">
    <text xml:space="preserve">Petco used Demand Gen campaigns across targeting, creative generation and bidding to find new pet parent audiences across YouTube. They achieved a 275% higher return on ad spend and a 74% higher click through rate than their social benchmarks.
</text>
  </threadedComment>
  <threadedComment ref="B7" dT="2025-04-24T04:56:19.24" personId="{3A2E8EA1-30C2-44C0-B0DD-30A8B6E5D02D}" id="{1BE046AC-F3FB-43EE-AECA-81905FEF9CD1}">
    <text xml:space="preserve">Based on the Nielsen meta analysis of marketing mixed models, on average, Google AI-powered video campaigns on YouTube deliver 17% higher return on advertising spend than manual campaigns.
</text>
  </threadedComment>
  <threadedComment ref="B8" dT="2025-04-24T05:06:01.51" personId="{3A2E8EA1-30C2-44C0-B0DD-30A8B6E5D02D}" id="{48472E7E-10B8-4095-8B32-362E14E59AC2}">
    <text xml:space="preserve">First, the increase in our investment in CapEx over the past few years will increase pressure on the P&amp;L, primarily in the form of higher depreciation. </text>
  </threadedComment>
  <threadedComment ref="B8" dT="2025-04-24T05:06:24.22" personId="{3A2E8EA1-30C2-44C0-B0DD-30A8B6E5D02D}" id="{62D067A3-5C6C-4A61-9389-9141993FC5D0}" parentId="{48472E7E-10B8-4095-8B32-362E14E59AC2}">
    <text xml:space="preserve">Given the increasing CapEx investments over the past few years, we expect the growth rate in depreciation to accelerate in 2025.
</text>
  </threadedComment>
  <threadedComment ref="B13" dT="2025-04-24T04:55:13.10" personId="{3A2E8EA1-30C2-44C0-B0DD-30A8B6E5D02D}" id="{4C15ACA3-2BFB-48FE-85C1-4875F9329530}">
    <text xml:space="preserve">Using asset generation in PMax, Event Tickets Center achieved a 5 times increase in production of creative assets, saving time and effort. They also increased conversions by 300% compared to the previous period when they used manual assets.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0" dT="2025-04-24T20:04:58.81" personId="{3A2E8EA1-30C2-44C0-B0DD-30A8B6E5D02D}" id="{6FF532F1-830D-4259-9AB9-82FDC064399F}">
    <text xml:space="preserve">Normalized </text>
  </threadedComment>
  <threadedComment ref="V13" dT="2025-04-24T04:47:45.78" personId="{3A2E8EA1-30C2-44C0-B0DD-30A8B6E5D02D}" id="{B99DE3B8-CC20-4BAA-9DF2-73E63E2833F9}">
    <text>“YT &amp; Cloud exit 2024 at a annual run rate of 110B”</text>
  </threadedComment>
  <threadedComment ref="W13" dT="2025-04-24T04:47:45.78" personId="{3A2E8EA1-30C2-44C0-B0DD-30A8B6E5D02D}" id="{27A2C0CB-24DD-49C9-8CEA-49FE631EF8FB}">
    <text>“YT &amp; Cloud exit 2024 at a annual run rate of 110B”</text>
  </threadedComment>
  <threadedComment ref="X13" dT="2025-04-24T04:47:45.78" personId="{3A2E8EA1-30C2-44C0-B0DD-30A8B6E5D02D}" id="{096FB016-FF97-4145-90B3-BC82A38B1387}">
    <text>“YT &amp; Cloud exit 2024 at a annual run rate of 110B”</text>
  </threadedComment>
  <threadedComment ref="Y13" dT="2025-04-24T04:47:45.78" personId="{3A2E8EA1-30C2-44C0-B0DD-30A8B6E5D02D}" id="{1E7D3402-EC2F-4E86-9BC9-486984C5E5A7}">
    <text>“YT &amp; Cloud exit 2024 at a annual run rate of 110B”</text>
  </threadedComment>
  <threadedComment ref="Z13" dT="2025-04-24T04:47:45.78" personId="{3A2E8EA1-30C2-44C0-B0DD-30A8B6E5D02D}" id="{CC9FFDAD-5D8D-42AF-A282-F7603C497A52}">
    <text>“YT &amp; Cloud exit 2024 at a annual run rate of 110B”</text>
  </threadedComment>
  <threadedComment ref="J73" dT="2025-04-24T04:58:21.95" personId="{3A2E8EA1-30C2-44C0-B0DD-30A8B6E5D02D}" id="{3B68AEFE-707F-4EB5-AB45-6DCA4A93072B}">
    <text>"16B-18B Debt 1st Quarter"</text>
  </threadedComment>
  <threadedComment ref="J100" dT="2025-04-24T04:59:59.64" personId="{3A2E8EA1-30C2-44C0-B0DD-30A8B6E5D02D}" id="{B2A26FD5-756A-4436-88C9-DC45B78A3F12}">
    <text>Acquisition of Wiz</text>
  </threadedComment>
  <threadedComment ref="V102" dT="2025-04-24T04:29:36.04" personId="{3A2E8EA1-30C2-44C0-B0DD-30A8B6E5D02D}" id="{50D81D40-768D-4E6C-B865-C43BC614BF3C}">
    <text>“expect 75 bil in CAPEX 2025”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E1F6-E010-4C2A-A7A7-05E6849E9A4F}">
  <dimension ref="A1:J15"/>
  <sheetViews>
    <sheetView zoomScale="190" zoomScaleNormal="190" workbookViewId="0">
      <selection activeCell="D13" sqref="D13"/>
    </sheetView>
  </sheetViews>
  <sheetFormatPr defaultRowHeight="15" x14ac:dyDescent="0.25"/>
  <sheetData>
    <row r="1" spans="1:10" x14ac:dyDescent="0.25">
      <c r="A1" s="1" t="s">
        <v>0</v>
      </c>
    </row>
    <row r="2" spans="1:10" x14ac:dyDescent="0.25">
      <c r="B2" t="s">
        <v>106</v>
      </c>
      <c r="H2" t="s">
        <v>1</v>
      </c>
      <c r="I2" s="2">
        <v>156</v>
      </c>
    </row>
    <row r="3" spans="1:10" x14ac:dyDescent="0.25">
      <c r="B3" t="s">
        <v>91</v>
      </c>
      <c r="H3" t="s">
        <v>2</v>
      </c>
      <c r="I3" s="2">
        <v>12250</v>
      </c>
      <c r="J3" t="s">
        <v>25</v>
      </c>
    </row>
    <row r="4" spans="1:10" x14ac:dyDescent="0.25">
      <c r="B4" t="s">
        <v>94</v>
      </c>
      <c r="H4" t="s">
        <v>3</v>
      </c>
      <c r="I4" s="2">
        <f>I3*I2</f>
        <v>1911000</v>
      </c>
    </row>
    <row r="5" spans="1:10" x14ac:dyDescent="0.25">
      <c r="B5" s="2" t="s">
        <v>95</v>
      </c>
      <c r="H5" t="s">
        <v>4</v>
      </c>
      <c r="I5" s="2">
        <f>23466+72191</f>
        <v>95657</v>
      </c>
      <c r="J5" t="s">
        <v>25</v>
      </c>
    </row>
    <row r="6" spans="1:10" x14ac:dyDescent="0.25">
      <c r="B6" t="s">
        <v>109</v>
      </c>
      <c r="H6" t="s">
        <v>5</v>
      </c>
      <c r="I6" s="2">
        <v>10883</v>
      </c>
      <c r="J6" t="s">
        <v>25</v>
      </c>
    </row>
    <row r="7" spans="1:10" x14ac:dyDescent="0.25">
      <c r="B7" t="s">
        <v>113</v>
      </c>
      <c r="H7" t="s">
        <v>6</v>
      </c>
      <c r="I7" s="2">
        <f>I4+I6-I5</f>
        <v>1826226</v>
      </c>
    </row>
    <row r="8" spans="1:10" x14ac:dyDescent="0.25">
      <c r="B8" t="s">
        <v>115</v>
      </c>
    </row>
    <row r="10" spans="1:10" x14ac:dyDescent="0.25">
      <c r="B10" t="s">
        <v>96</v>
      </c>
    </row>
    <row r="11" spans="1:10" x14ac:dyDescent="0.25">
      <c r="B11" s="7"/>
    </row>
    <row r="12" spans="1:10" x14ac:dyDescent="0.25">
      <c r="B12" s="7" t="s">
        <v>110</v>
      </c>
    </row>
    <row r="13" spans="1:10" x14ac:dyDescent="0.25">
      <c r="B13" s="3" t="s">
        <v>111</v>
      </c>
    </row>
    <row r="14" spans="1:10" x14ac:dyDescent="0.25">
      <c r="B14" s="3" t="s">
        <v>112</v>
      </c>
      <c r="C14" s="3"/>
    </row>
    <row r="15" spans="1:10" x14ac:dyDescent="0.25">
      <c r="C15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1D38-ABFE-4FA6-A788-1C5637E2C7B6}">
  <dimension ref="A1:HL109"/>
  <sheetViews>
    <sheetView tabSelected="1" workbookViewId="0">
      <pane xSplit="1" ySplit="1" topLeftCell="N79" activePane="bottomRight" state="frozen"/>
      <selection pane="topRight" activeCell="B1" sqref="B1"/>
      <selection pane="bottomLeft" activeCell="A2" sqref="A2"/>
      <selection pane="bottomRight" activeCell="Z97" sqref="Z97"/>
    </sheetView>
  </sheetViews>
  <sheetFormatPr defaultRowHeight="15" x14ac:dyDescent="0.25"/>
  <cols>
    <col min="1" max="1" width="21.7109375" style="2" customWidth="1"/>
    <col min="2" max="5" width="9.28515625" style="2" customWidth="1"/>
    <col min="6" max="8" width="9.140625" style="2"/>
    <col min="9" max="9" width="9.5703125" style="2" bestFit="1" customWidth="1"/>
    <col min="10" max="12" width="9.140625" style="2"/>
    <col min="13" max="13" width="9.42578125" style="2" customWidth="1"/>
    <col min="14" max="14" width="9.140625" style="2"/>
    <col min="15" max="15" width="13.5703125" style="2" customWidth="1"/>
    <col min="16" max="20" width="9.140625" style="2"/>
    <col min="21" max="21" width="10.5703125" style="2" bestFit="1" customWidth="1"/>
    <col min="22" max="22" width="9.5703125" style="2" bestFit="1" customWidth="1"/>
    <col min="23" max="23" width="9.140625" style="2"/>
    <col min="24" max="24" width="8.5703125" style="2" customWidth="1"/>
    <col min="25" max="25" width="9.42578125" style="2" customWidth="1"/>
    <col min="26" max="26" width="9.7109375" style="2" customWidth="1"/>
    <col min="27" max="28" width="9.140625" style="2"/>
    <col min="29" max="29" width="9.85546875" style="2" customWidth="1"/>
    <col min="30" max="16384" width="9.140625" style="2"/>
  </cols>
  <sheetData>
    <row r="1" spans="1:31" x14ac:dyDescent="0.25">
      <c r="B1" s="2" t="s">
        <v>39</v>
      </c>
      <c r="C1" s="2" t="s">
        <v>40</v>
      </c>
      <c r="D1" s="2" t="s">
        <v>41</v>
      </c>
      <c r="E1" s="2" t="s">
        <v>42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92</v>
      </c>
      <c r="M1" s="2" t="s">
        <v>93</v>
      </c>
      <c r="P1" s="4">
        <v>2019</v>
      </c>
      <c r="Q1" s="4">
        <v>2020</v>
      </c>
      <c r="R1" s="4">
        <f>Q1+1</f>
        <v>2021</v>
      </c>
      <c r="S1" s="4">
        <f t="shared" ref="S1:Z1" si="0">R1+1</f>
        <v>2022</v>
      </c>
      <c r="T1" s="4">
        <f t="shared" si="0"/>
        <v>2023</v>
      </c>
      <c r="U1" s="4">
        <f t="shared" si="0"/>
        <v>2024</v>
      </c>
      <c r="V1" s="4">
        <f t="shared" si="0"/>
        <v>2025</v>
      </c>
      <c r="W1" s="4">
        <f t="shared" si="0"/>
        <v>2026</v>
      </c>
      <c r="X1" s="4">
        <f t="shared" si="0"/>
        <v>2027</v>
      </c>
      <c r="Y1" s="4">
        <f t="shared" si="0"/>
        <v>2028</v>
      </c>
      <c r="Z1" s="4">
        <f t="shared" si="0"/>
        <v>2029</v>
      </c>
      <c r="AA1" s="4">
        <f t="shared" ref="AA1" si="1">Z1+1</f>
        <v>2030</v>
      </c>
      <c r="AB1" s="4">
        <f t="shared" ref="AB1" si="2">AA1+1</f>
        <v>2031</v>
      </c>
      <c r="AC1" s="4">
        <f t="shared" ref="AC1" si="3">AB1+1</f>
        <v>2032</v>
      </c>
      <c r="AD1" s="4">
        <f t="shared" ref="AD1" si="4">AC1+1</f>
        <v>2033</v>
      </c>
      <c r="AE1" s="4">
        <f t="shared" ref="AE1" si="5">AD1+1</f>
        <v>2034</v>
      </c>
    </row>
    <row r="2" spans="1:31" x14ac:dyDescent="0.25">
      <c r="A2" s="2" t="s">
        <v>101</v>
      </c>
      <c r="B2" s="5"/>
      <c r="D2" s="5"/>
      <c r="E2" s="3">
        <f>E5/SUM(E18:E18)</f>
        <v>2.4763757643135076</v>
      </c>
      <c r="F2" s="5"/>
      <c r="I2" s="3">
        <f>I5/SUM(I18:I18)</f>
        <v>2.8218000515774091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31" x14ac:dyDescent="0.25">
      <c r="A3" s="2" t="s">
        <v>102</v>
      </c>
      <c r="B3" s="5"/>
      <c r="D3" s="5"/>
      <c r="E3" s="3">
        <f>E6/E20</f>
        <v>9.4103568320278497E-2</v>
      </c>
      <c r="F3" s="5"/>
      <c r="I3" s="3">
        <f>I6/I20</f>
        <v>0.17507319113341699</v>
      </c>
      <c r="J3" s="3">
        <v>0.4</v>
      </c>
      <c r="K3" s="3">
        <v>0.4</v>
      </c>
      <c r="L3" s="3">
        <v>0.4</v>
      </c>
      <c r="M3" s="3">
        <v>0.4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31" x14ac:dyDescent="0.25">
      <c r="A4" s="2" t="s">
        <v>103</v>
      </c>
      <c r="B4" s="5"/>
      <c r="D4" s="5"/>
      <c r="E4" s="3">
        <f>E7/E21</f>
        <v>-1.0693928128872368</v>
      </c>
      <c r="F4" s="5"/>
      <c r="I4" s="3">
        <f>I7/I21</f>
        <v>-2.7952380952380951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31" x14ac:dyDescent="0.25">
      <c r="A5" s="2" t="s">
        <v>97</v>
      </c>
      <c r="B5" s="5"/>
      <c r="D5" s="5"/>
      <c r="E5" s="2">
        <v>26730</v>
      </c>
      <c r="F5" s="5"/>
      <c r="I5" s="2">
        <v>32826</v>
      </c>
      <c r="J5" s="5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31" x14ac:dyDescent="0.25">
      <c r="A6" s="2" t="s">
        <v>98</v>
      </c>
      <c r="B6" s="5"/>
      <c r="D6" s="5"/>
      <c r="E6" s="2">
        <v>865</v>
      </c>
      <c r="F6" s="5"/>
      <c r="I6" s="2">
        <v>2093</v>
      </c>
      <c r="J6" s="2">
        <f>J3*J20</f>
        <v>5355.8400000000011</v>
      </c>
      <c r="K6" s="2">
        <f>K3*K20</f>
        <v>5998.5408000000025</v>
      </c>
      <c r="L6" s="2">
        <f>L3*L20</f>
        <v>6718.3656960000026</v>
      </c>
      <c r="M6" s="2">
        <f>M3*M20</f>
        <v>7524.5695795200045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31" x14ac:dyDescent="0.25">
      <c r="A7" s="2" t="s">
        <v>99</v>
      </c>
      <c r="B7" s="5"/>
      <c r="D7" s="5"/>
      <c r="E7" s="2">
        <v>-863</v>
      </c>
      <c r="F7" s="5"/>
      <c r="I7" s="2">
        <v>-1174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spans="1:31" x14ac:dyDescent="0.25">
      <c r="A8" s="2" t="s">
        <v>100</v>
      </c>
      <c r="B8" s="5"/>
      <c r="C8" s="5"/>
      <c r="D8" s="8"/>
      <c r="E8" s="2">
        <f>-3034-150</f>
        <v>-3184</v>
      </c>
      <c r="F8" s="6"/>
      <c r="G8" s="5"/>
      <c r="H8" s="8"/>
      <c r="I8" s="2">
        <f>-2783-20</f>
        <v>-2803</v>
      </c>
      <c r="M8" s="5" t="s">
        <v>116</v>
      </c>
      <c r="O8" s="4" t="s">
        <v>120</v>
      </c>
      <c r="P8" s="4" t="s">
        <v>121</v>
      </c>
      <c r="R8" s="4"/>
      <c r="S8" s="4"/>
      <c r="T8" s="4"/>
      <c r="U8" s="4"/>
      <c r="V8" s="4"/>
      <c r="W8" s="4"/>
      <c r="X8" s="4"/>
      <c r="Y8" s="4"/>
      <c r="Z8" s="4"/>
    </row>
    <row r="9" spans="1:31" x14ac:dyDescent="0.25">
      <c r="B9" s="5"/>
      <c r="C9" s="5"/>
      <c r="D9" s="8"/>
      <c r="F9" s="6"/>
      <c r="G9" s="5"/>
      <c r="H9" s="8"/>
      <c r="L9" s="2" t="s">
        <v>119</v>
      </c>
      <c r="M9" s="6" t="s">
        <v>51</v>
      </c>
      <c r="N9" s="10">
        <v>2.0099999999999998</v>
      </c>
      <c r="O9" s="2" t="s">
        <v>122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31" x14ac:dyDescent="0.25">
      <c r="A10" s="2" t="s">
        <v>114</v>
      </c>
      <c r="B10" s="5"/>
      <c r="C10" s="5"/>
      <c r="D10" s="6">
        <f>(D15-D11)/D15</f>
        <v>0.71285149684277471</v>
      </c>
      <c r="E10" s="6">
        <f>(E15-E11)/E15</f>
        <v>0.70874635568513122</v>
      </c>
      <c r="F10" s="6"/>
      <c r="G10" s="5"/>
      <c r="H10" s="6">
        <f>H11/H15</f>
        <v>0.27779690189328743</v>
      </c>
      <c r="I10" s="6">
        <f>I11/I15</f>
        <v>0.27478994707036308</v>
      </c>
      <c r="L10" s="2" t="s">
        <v>118</v>
      </c>
      <c r="M10" s="5" t="s">
        <v>51</v>
      </c>
      <c r="N10" s="10">
        <v>2.2400000000000002</v>
      </c>
      <c r="P10" s="4" t="s">
        <v>123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31" x14ac:dyDescent="0.25">
      <c r="A11" s="2" t="s">
        <v>88</v>
      </c>
      <c r="B11" s="5"/>
      <c r="C11" s="5"/>
      <c r="D11" s="2">
        <v>12642</v>
      </c>
      <c r="E11" s="2">
        <v>13986</v>
      </c>
      <c r="F11" s="5"/>
      <c r="G11" s="5"/>
      <c r="H11" s="2">
        <v>13719</v>
      </c>
      <c r="I11" s="2">
        <v>14848</v>
      </c>
      <c r="J11" s="2">
        <f>I11*0.93</f>
        <v>13808.640000000001</v>
      </c>
      <c r="L11" s="2" t="s">
        <v>117</v>
      </c>
      <c r="M11" s="5" t="s">
        <v>51</v>
      </c>
      <c r="N11" s="10">
        <v>2.11</v>
      </c>
      <c r="O11" s="2" t="s">
        <v>124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31" x14ac:dyDescent="0.25">
      <c r="A12" s="2" t="s">
        <v>89</v>
      </c>
      <c r="B12" s="5"/>
      <c r="C12" s="5"/>
      <c r="D12" s="2">
        <v>182381</v>
      </c>
      <c r="E12" s="2">
        <v>182502</v>
      </c>
      <c r="F12" s="5"/>
      <c r="G12" s="5"/>
      <c r="H12" s="2">
        <v>181269</v>
      </c>
      <c r="I12" s="2">
        <v>183323</v>
      </c>
      <c r="J12" s="5"/>
      <c r="K12" s="5"/>
      <c r="L12" s="5"/>
      <c r="M12" s="5"/>
      <c r="N12" s="3"/>
      <c r="P12" s="4"/>
      <c r="Q12" s="4"/>
      <c r="R12" s="4"/>
      <c r="S12" s="4"/>
      <c r="T12" s="3"/>
      <c r="U12" s="3"/>
      <c r="V12" s="3"/>
      <c r="W12" s="3"/>
      <c r="X12" s="3"/>
      <c r="Y12" s="3"/>
      <c r="Z12" s="3"/>
    </row>
    <row r="13" spans="1:31" x14ac:dyDescent="0.25">
      <c r="A13" s="2" t="s">
        <v>108</v>
      </c>
      <c r="B13" s="6"/>
      <c r="C13" s="5"/>
      <c r="F13" s="6"/>
      <c r="G13" s="5"/>
      <c r="J13" s="5">
        <f>J20+J16</f>
        <v>23024.760000000002</v>
      </c>
      <c r="K13" s="5">
        <f t="shared" ref="K13:M13" si="6">K20+K16</f>
        <v>25980.434400000006</v>
      </c>
      <c r="L13" s="5">
        <f t="shared" si="6"/>
        <v>29317.768176000005</v>
      </c>
      <c r="M13" s="5">
        <f t="shared" si="6"/>
        <v>33086.337435840003</v>
      </c>
      <c r="P13" s="4"/>
      <c r="Q13" s="4"/>
      <c r="S13" s="2">
        <f t="shared" ref="S13:T13" si="7">S16+S20</f>
        <v>55523</v>
      </c>
      <c r="T13" s="2">
        <f t="shared" si="7"/>
        <v>64598</v>
      </c>
      <c r="U13" s="2">
        <f t="shared" ref="U13:Z13" si="8">U16+U20</f>
        <v>79376</v>
      </c>
      <c r="V13" s="2">
        <f t="shared" si="8"/>
        <v>111409.30001184001</v>
      </c>
      <c r="W13" s="2">
        <f t="shared" si="8"/>
        <v>129897.87922836482</v>
      </c>
      <c r="X13" s="2">
        <f t="shared" si="8"/>
        <v>151628.98059389339</v>
      </c>
      <c r="Y13" s="2">
        <f t="shared" si="8"/>
        <v>177196.48529491038</v>
      </c>
      <c r="Z13" s="2">
        <f t="shared" si="8"/>
        <v>207306.49596599932</v>
      </c>
    </row>
    <row r="14" spans="1:31" x14ac:dyDescent="0.25">
      <c r="B14" s="5"/>
      <c r="C14" s="3"/>
      <c r="D14" s="3"/>
      <c r="E14" s="3"/>
      <c r="G14" s="3"/>
      <c r="H14" s="3"/>
      <c r="I14" s="8"/>
      <c r="J14" s="5"/>
      <c r="K14" s="5"/>
      <c r="L14" s="6"/>
      <c r="M14" s="5"/>
      <c r="O14" s="8"/>
      <c r="P14" s="3"/>
      <c r="Q14" s="3"/>
      <c r="R14" s="3"/>
      <c r="S14" s="3"/>
      <c r="T14" s="3"/>
      <c r="U14" s="3"/>
      <c r="V14" s="4"/>
      <c r="W14" s="4"/>
      <c r="X14" s="4"/>
      <c r="Y14" s="4"/>
      <c r="Z14" s="4"/>
    </row>
    <row r="15" spans="1:31" x14ac:dyDescent="0.25">
      <c r="A15" s="2" t="s">
        <v>33</v>
      </c>
      <c r="B15" s="2">
        <v>40359</v>
      </c>
      <c r="C15" s="2">
        <v>42628</v>
      </c>
      <c r="D15" s="2">
        <v>44026</v>
      </c>
      <c r="E15" s="2">
        <v>48020</v>
      </c>
      <c r="F15" s="2">
        <v>46156</v>
      </c>
      <c r="G15" s="2">
        <v>48509</v>
      </c>
      <c r="H15" s="2">
        <v>49385</v>
      </c>
      <c r="I15" s="2">
        <v>54034</v>
      </c>
      <c r="J15" s="2">
        <f>I15*0.93</f>
        <v>50251.62</v>
      </c>
      <c r="K15" s="2">
        <f>J15*1.06</f>
        <v>53266.717200000006</v>
      </c>
      <c r="L15" s="2">
        <f t="shared" ref="L15:M15" si="9">K15*1.06</f>
        <v>56462.720232000007</v>
      </c>
      <c r="M15" s="2">
        <f t="shared" si="9"/>
        <v>59850.483445920014</v>
      </c>
      <c r="P15" s="2">
        <v>161857</v>
      </c>
      <c r="Q15" s="2">
        <v>182527</v>
      </c>
      <c r="R15" s="2">
        <v>257637</v>
      </c>
      <c r="S15" s="2">
        <v>162450</v>
      </c>
      <c r="T15" s="2">
        <v>175033</v>
      </c>
      <c r="U15" s="2">
        <v>198084</v>
      </c>
      <c r="V15" s="2">
        <f>SUM(J15:M15)</f>
        <v>219831.54087792002</v>
      </c>
      <c r="W15" s="2">
        <f>V15*1.11</f>
        <v>244013.01037449125</v>
      </c>
      <c r="X15" s="2">
        <f t="shared" ref="X15:Z15" si="10">W15*1.11</f>
        <v>270854.44151568529</v>
      </c>
      <c r="Y15" s="2">
        <f t="shared" si="10"/>
        <v>300648.43008241069</v>
      </c>
      <c r="Z15" s="2">
        <f t="shared" si="10"/>
        <v>333719.7573914759</v>
      </c>
    </row>
    <row r="16" spans="1:31" x14ac:dyDescent="0.25">
      <c r="A16" s="2" t="s">
        <v>34</v>
      </c>
      <c r="B16" s="2">
        <v>6693</v>
      </c>
      <c r="C16" s="2">
        <v>7665</v>
      </c>
      <c r="D16" s="2">
        <v>7952</v>
      </c>
      <c r="E16" s="2">
        <v>9200</v>
      </c>
      <c r="F16" s="2">
        <v>8090</v>
      </c>
      <c r="G16" s="2">
        <v>8663</v>
      </c>
      <c r="H16" s="2">
        <v>8921</v>
      </c>
      <c r="I16" s="2">
        <v>10473</v>
      </c>
      <c r="J16" s="2">
        <f>I16*0.92</f>
        <v>9635.16</v>
      </c>
      <c r="K16" s="2">
        <f>J16*1.14</f>
        <v>10984.082399999999</v>
      </c>
      <c r="L16" s="2">
        <f t="shared" ref="L16:M16" si="11">K16*1.14</f>
        <v>12521.853935999998</v>
      </c>
      <c r="M16" s="2">
        <f t="shared" si="11"/>
        <v>14274.913487039996</v>
      </c>
      <c r="N16" s="3"/>
      <c r="O16" s="3"/>
      <c r="Q16" s="4"/>
      <c r="R16" s="4"/>
      <c r="S16" s="2">
        <v>29243</v>
      </c>
      <c r="T16" s="2">
        <v>31510</v>
      </c>
      <c r="U16" s="2">
        <v>36147</v>
      </c>
      <c r="V16" s="2">
        <f>SUM(J16:M16)</f>
        <v>47416.009823039989</v>
      </c>
      <c r="W16" s="2">
        <f>V16*1.12</f>
        <v>53105.931001804791</v>
      </c>
      <c r="X16" s="2">
        <f t="shared" ref="X16:Z16" si="12">W16*1.12</f>
        <v>59478.642722021374</v>
      </c>
      <c r="Y16" s="2">
        <f t="shared" si="12"/>
        <v>66616.07984866394</v>
      </c>
      <c r="Z16" s="2">
        <f t="shared" si="12"/>
        <v>74610.009430503618</v>
      </c>
    </row>
    <row r="17" spans="1:26" x14ac:dyDescent="0.25">
      <c r="A17" s="2" t="s">
        <v>35</v>
      </c>
      <c r="B17" s="2">
        <v>7496</v>
      </c>
      <c r="C17" s="2">
        <v>7850</v>
      </c>
      <c r="D17" s="2">
        <v>7669</v>
      </c>
      <c r="E17" s="2">
        <v>8297</v>
      </c>
      <c r="F17" s="2">
        <v>7413</v>
      </c>
      <c r="G17" s="2">
        <v>7444</v>
      </c>
      <c r="H17" s="2">
        <v>7548</v>
      </c>
      <c r="I17" s="2">
        <v>7954</v>
      </c>
      <c r="J17" s="2">
        <f>I17*0.92</f>
        <v>7317.68</v>
      </c>
      <c r="K17" s="2">
        <f>J17*1.02</f>
        <v>7464.0336000000007</v>
      </c>
      <c r="L17" s="2">
        <f t="shared" ref="L17:M17" si="13">K17*1.02</f>
        <v>7613.3142720000005</v>
      </c>
      <c r="M17" s="2">
        <f t="shared" si="13"/>
        <v>7765.580557440001</v>
      </c>
      <c r="N17" s="3"/>
      <c r="O17" s="3"/>
      <c r="Q17" s="4"/>
      <c r="R17" s="4"/>
      <c r="S17" s="2">
        <v>32780</v>
      </c>
      <c r="T17" s="2">
        <v>31312</v>
      </c>
      <c r="U17" s="2">
        <v>30359</v>
      </c>
      <c r="V17" s="2">
        <f>SUM(J17:M17)</f>
        <v>30160.608429440003</v>
      </c>
      <c r="W17" s="2">
        <f>V17*1.01</f>
        <v>30462.214513734401</v>
      </c>
      <c r="X17" s="2">
        <f t="shared" ref="X17:Z17" si="14">W17*1.01</f>
        <v>30766.836658871747</v>
      </c>
      <c r="Y17" s="2">
        <f t="shared" si="14"/>
        <v>31074.505025460465</v>
      </c>
      <c r="Z17" s="2">
        <f t="shared" si="14"/>
        <v>31385.25007571507</v>
      </c>
    </row>
    <row r="18" spans="1:26" x14ac:dyDescent="0.25">
      <c r="A18" s="2" t="s">
        <v>37</v>
      </c>
      <c r="B18" s="2">
        <v>7413</v>
      </c>
      <c r="C18" s="2">
        <v>8142</v>
      </c>
      <c r="D18" s="2">
        <v>8339</v>
      </c>
      <c r="E18" s="2">
        <v>10794</v>
      </c>
      <c r="F18" s="2">
        <v>8739</v>
      </c>
      <c r="G18" s="2">
        <v>9312</v>
      </c>
      <c r="H18" s="2">
        <v>10656</v>
      </c>
      <c r="I18" s="2">
        <v>11633</v>
      </c>
      <c r="J18" s="2">
        <f>I18*0.92</f>
        <v>10702.36</v>
      </c>
      <c r="K18" s="2">
        <f>J18*1.03</f>
        <v>11023.4308</v>
      </c>
      <c r="L18" s="2">
        <f t="shared" ref="L18:M18" si="15">K18*1.03</f>
        <v>11354.133724000001</v>
      </c>
      <c r="M18" s="2">
        <f t="shared" si="15"/>
        <v>11694.757735720001</v>
      </c>
      <c r="Q18" s="4"/>
      <c r="R18" s="4"/>
      <c r="S18" s="2">
        <v>29055</v>
      </c>
      <c r="T18" s="2">
        <v>34688</v>
      </c>
      <c r="U18" s="2">
        <v>40340</v>
      </c>
      <c r="V18" s="2">
        <f>SUM(J18:M18)</f>
        <v>44774.682259720001</v>
      </c>
      <c r="W18" s="2">
        <f>V18*1.12</f>
        <v>50147.644130886409</v>
      </c>
      <c r="X18" s="2">
        <f t="shared" ref="X18:Z18" si="16">W18*1.12</f>
        <v>56165.361426592783</v>
      </c>
      <c r="Y18" s="2">
        <f t="shared" si="16"/>
        <v>62905.204797783925</v>
      </c>
      <c r="Z18" s="2">
        <f t="shared" si="16"/>
        <v>70453.829373518005</v>
      </c>
    </row>
    <row r="19" spans="1:26" x14ac:dyDescent="0.25">
      <c r="A19" s="2" t="s">
        <v>104</v>
      </c>
      <c r="B19" s="2">
        <f>SUM(B15:B18)</f>
        <v>61961</v>
      </c>
      <c r="C19" s="2">
        <f t="shared" ref="C19:P19" si="17">SUM(C15:C18)</f>
        <v>66285</v>
      </c>
      <c r="D19" s="2">
        <f t="shared" si="17"/>
        <v>67986</v>
      </c>
      <c r="E19" s="2">
        <f t="shared" si="17"/>
        <v>76311</v>
      </c>
      <c r="F19" s="2">
        <f t="shared" si="17"/>
        <v>70398</v>
      </c>
      <c r="G19" s="2">
        <f t="shared" si="17"/>
        <v>73928</v>
      </c>
      <c r="H19" s="2">
        <f t="shared" si="17"/>
        <v>76510</v>
      </c>
      <c r="I19" s="2">
        <f t="shared" si="17"/>
        <v>84094</v>
      </c>
      <c r="J19" s="2">
        <f t="shared" si="17"/>
        <v>77906.819999999992</v>
      </c>
      <c r="K19" s="2">
        <f t="shared" si="17"/>
        <v>82738.26400000001</v>
      </c>
      <c r="L19" s="2">
        <f t="shared" si="17"/>
        <v>87952.022164000009</v>
      </c>
      <c r="M19" s="2">
        <f t="shared" si="17"/>
        <v>93585.735226120014</v>
      </c>
      <c r="P19" s="2">
        <f t="shared" si="17"/>
        <v>161857</v>
      </c>
      <c r="Q19" s="2">
        <f t="shared" ref="Q19" si="18">SUM(Q15:Q18)</f>
        <v>182527</v>
      </c>
      <c r="R19" s="2">
        <f t="shared" ref="R19" si="19">SUM(R15:R18)</f>
        <v>257637</v>
      </c>
      <c r="S19" s="2">
        <f t="shared" ref="S19" si="20">SUM(S15:S18)</f>
        <v>253528</v>
      </c>
      <c r="T19" s="2">
        <f t="shared" ref="T19" si="21">SUM(T15:T18)</f>
        <v>272543</v>
      </c>
      <c r="U19" s="2">
        <f t="shared" ref="U19" si="22">SUM(U15:U18)</f>
        <v>304930</v>
      </c>
      <c r="V19" s="2">
        <f t="shared" ref="V19" si="23">SUM(V15:V18)</f>
        <v>342182.84139011998</v>
      </c>
      <c r="W19" s="2">
        <f t="shared" ref="W19" si="24">SUM(W15:W18)</f>
        <v>377728.80002091685</v>
      </c>
      <c r="X19" s="2">
        <f t="shared" ref="X19" si="25">SUM(X15:X18)</f>
        <v>417265.28232317121</v>
      </c>
      <c r="Y19" s="2">
        <f t="shared" ref="Y19" si="26">SUM(Y15:Y18)</f>
        <v>461244.219754319</v>
      </c>
      <c r="Z19" s="2">
        <f t="shared" ref="Z19" si="27">SUM(Z15:Z18)</f>
        <v>510168.84627121262</v>
      </c>
    </row>
    <row r="20" spans="1:26" x14ac:dyDescent="0.25">
      <c r="A20" s="2" t="s">
        <v>36</v>
      </c>
      <c r="B20" s="2">
        <v>7454</v>
      </c>
      <c r="C20" s="2">
        <v>8031</v>
      </c>
      <c r="D20" s="2">
        <v>8411</v>
      </c>
      <c r="E20" s="2">
        <v>9192</v>
      </c>
      <c r="F20" s="2">
        <v>9574</v>
      </c>
      <c r="G20" s="2">
        <v>10347</v>
      </c>
      <c r="H20" s="2">
        <v>11353</v>
      </c>
      <c r="I20" s="2">
        <v>11955</v>
      </c>
      <c r="J20" s="2">
        <f>I20*1.12</f>
        <v>13389.600000000002</v>
      </c>
      <c r="K20" s="2">
        <f t="shared" ref="K20:M20" si="28">J20*1.12</f>
        <v>14996.352000000004</v>
      </c>
      <c r="L20" s="2">
        <f t="shared" si="28"/>
        <v>16795.914240000006</v>
      </c>
      <c r="M20" s="2">
        <f t="shared" si="28"/>
        <v>18811.423948800009</v>
      </c>
      <c r="N20" s="3"/>
      <c r="O20" s="3"/>
      <c r="Q20" s="4"/>
      <c r="R20" s="4"/>
      <c r="S20" s="2">
        <v>26280</v>
      </c>
      <c r="T20" s="2">
        <v>33088</v>
      </c>
      <c r="U20" s="2">
        <v>43229</v>
      </c>
      <c r="V20" s="2">
        <f>SUM(J20:M20)</f>
        <v>63993.29018880002</v>
      </c>
      <c r="W20" s="2">
        <f>V20*1.2</f>
        <v>76791.948226560024</v>
      </c>
      <c r="X20" s="2">
        <f t="shared" ref="X20:Z20" si="29">W20*1.2</f>
        <v>92150.33787187202</v>
      </c>
      <c r="Y20" s="2">
        <f t="shared" si="29"/>
        <v>110580.40544624643</v>
      </c>
      <c r="Z20" s="2">
        <f t="shared" si="29"/>
        <v>132696.4865354957</v>
      </c>
    </row>
    <row r="21" spans="1:26" x14ac:dyDescent="0.25">
      <c r="A21" s="2" t="s">
        <v>14</v>
      </c>
      <c r="B21" s="2">
        <f>288+84</f>
        <v>372</v>
      </c>
      <c r="C21" s="2">
        <f>285+3</f>
        <v>288</v>
      </c>
      <c r="D21" s="2">
        <f>297-1</f>
        <v>296</v>
      </c>
      <c r="E21" s="2">
        <f>657+150</f>
        <v>807</v>
      </c>
      <c r="F21" s="2">
        <f>495+72</f>
        <v>567</v>
      </c>
      <c r="G21" s="2">
        <f>365+102</f>
        <v>467</v>
      </c>
      <c r="H21" s="2">
        <f>388+17</f>
        <v>405</v>
      </c>
      <c r="I21" s="2">
        <f>400+20</f>
        <v>420</v>
      </c>
      <c r="J21" s="2">
        <f>I21*0.93</f>
        <v>390.6</v>
      </c>
      <c r="K21" s="2">
        <f>J21*1.02</f>
        <v>398.41200000000003</v>
      </c>
      <c r="L21" s="2">
        <f t="shared" ref="L21:M21" si="30">K21*1.02</f>
        <v>406.38024000000001</v>
      </c>
      <c r="M21" s="2">
        <f t="shared" si="30"/>
        <v>414.50784480000004</v>
      </c>
      <c r="N21" s="3"/>
      <c r="Q21" s="4"/>
      <c r="R21" s="4"/>
      <c r="S21" s="2">
        <f>1068+1960</f>
        <v>3028</v>
      </c>
      <c r="T21" s="2">
        <f>1527+236</f>
        <v>1763</v>
      </c>
      <c r="U21" s="2">
        <f>1648+211</f>
        <v>1859</v>
      </c>
      <c r="V21" s="2">
        <f>SUM(J21:M21)</f>
        <v>1609.9000848000001</v>
      </c>
      <c r="W21" s="2">
        <f>V21*1.05</f>
        <v>1690.3950890400001</v>
      </c>
      <c r="X21" s="2">
        <f t="shared" ref="X21:Z21" si="31">W21*1.05</f>
        <v>1774.9148434920003</v>
      </c>
      <c r="Y21" s="2">
        <f t="shared" si="31"/>
        <v>1863.6605856666004</v>
      </c>
      <c r="Z21" s="2">
        <f t="shared" si="31"/>
        <v>1956.8436149499305</v>
      </c>
    </row>
    <row r="22" spans="1:26" s="5" customFormat="1" x14ac:dyDescent="0.25">
      <c r="A22" s="5" t="s">
        <v>7</v>
      </c>
      <c r="B22" s="5">
        <f>SUM(B19:B21)</f>
        <v>69787</v>
      </c>
      <c r="C22" s="5">
        <f t="shared" ref="C22:Z22" si="32">SUM(C19:C21)</f>
        <v>74604</v>
      </c>
      <c r="D22" s="5">
        <f t="shared" si="32"/>
        <v>76693</v>
      </c>
      <c r="E22" s="5">
        <f t="shared" si="32"/>
        <v>86310</v>
      </c>
      <c r="F22" s="5">
        <f t="shared" si="32"/>
        <v>80539</v>
      </c>
      <c r="G22" s="5">
        <f t="shared" si="32"/>
        <v>84742</v>
      </c>
      <c r="H22" s="5">
        <f t="shared" si="32"/>
        <v>88268</v>
      </c>
      <c r="I22" s="5">
        <f t="shared" si="32"/>
        <v>96469</v>
      </c>
      <c r="J22" s="5">
        <f>SUM(J19:J21)</f>
        <v>91687.02</v>
      </c>
      <c r="K22" s="5">
        <f t="shared" ref="K22:M22" si="33">SUM(K19:K21)</f>
        <v>98133.028000000006</v>
      </c>
      <c r="L22" s="5">
        <f t="shared" si="33"/>
        <v>105154.31664400001</v>
      </c>
      <c r="M22" s="5">
        <f t="shared" si="33"/>
        <v>112811.66701972003</v>
      </c>
      <c r="N22" s="5">
        <f>SUM(J22:M22)</f>
        <v>407786.03166372003</v>
      </c>
      <c r="P22" s="5">
        <f t="shared" si="32"/>
        <v>161857</v>
      </c>
      <c r="Q22" s="5">
        <f t="shared" si="32"/>
        <v>182527</v>
      </c>
      <c r="R22" s="5">
        <f t="shared" si="32"/>
        <v>257637</v>
      </c>
      <c r="S22" s="5">
        <f t="shared" si="32"/>
        <v>282836</v>
      </c>
      <c r="T22" s="5">
        <f t="shared" si="32"/>
        <v>307394</v>
      </c>
      <c r="U22" s="5">
        <f t="shared" si="32"/>
        <v>350018</v>
      </c>
      <c r="V22" s="5">
        <f>SUM(J22:M22)</f>
        <v>407786.03166372003</v>
      </c>
      <c r="W22" s="5">
        <f t="shared" si="32"/>
        <v>456211.14333651686</v>
      </c>
      <c r="X22" s="5">
        <f t="shared" si="32"/>
        <v>511190.53503853519</v>
      </c>
      <c r="Y22" s="5">
        <f t="shared" si="32"/>
        <v>573688.2857862321</v>
      </c>
      <c r="Z22" s="5">
        <f t="shared" si="32"/>
        <v>644822.17642165825</v>
      </c>
    </row>
    <row r="23" spans="1:26" x14ac:dyDescent="0.25">
      <c r="A23" s="2" t="s">
        <v>8</v>
      </c>
      <c r="B23" s="2">
        <v>30612</v>
      </c>
      <c r="C23" s="2">
        <v>31916</v>
      </c>
      <c r="D23" s="2">
        <v>33229</v>
      </c>
      <c r="E23" s="2">
        <v>37575</v>
      </c>
      <c r="F23" s="2">
        <v>33712</v>
      </c>
      <c r="G23" s="2">
        <v>35507</v>
      </c>
      <c r="H23" s="2">
        <v>36474</v>
      </c>
      <c r="I23" s="2">
        <v>40613</v>
      </c>
      <c r="J23" s="2">
        <f>J22*(1-J43)</f>
        <v>38508.548400000007</v>
      </c>
      <c r="K23" s="2">
        <f t="shared" ref="K23:M23" si="34">K22*(1-K43)</f>
        <v>41215.871760000009</v>
      </c>
      <c r="L23" s="2">
        <f t="shared" si="34"/>
        <v>44164.812990480008</v>
      </c>
      <c r="M23" s="2">
        <f t="shared" si="34"/>
        <v>47380.900148282417</v>
      </c>
      <c r="P23" s="2">
        <v>71896</v>
      </c>
      <c r="Q23" s="2">
        <v>84732</v>
      </c>
      <c r="R23" s="2">
        <v>110939</v>
      </c>
      <c r="S23" s="2">
        <v>126203</v>
      </c>
      <c r="T23" s="2">
        <v>133332</v>
      </c>
      <c r="U23" s="2">
        <v>146302</v>
      </c>
      <c r="V23" s="2">
        <f>SUM(J23:M23)</f>
        <v>171270.13329876243</v>
      </c>
      <c r="W23" s="2">
        <f>W22*(1-W43)</f>
        <v>191608.68020133709</v>
      </c>
      <c r="X23" s="2">
        <f>X22*(1-X43)</f>
        <v>214700.02471618479</v>
      </c>
      <c r="Y23" s="2">
        <f>Y22*(1-Y43)</f>
        <v>240949.0800302175</v>
      </c>
      <c r="Z23" s="2">
        <f>Z22*(1-Z43)</f>
        <v>270825.3140970965</v>
      </c>
    </row>
    <row r="24" spans="1:26" x14ac:dyDescent="0.25">
      <c r="A24" s="2" t="s">
        <v>9</v>
      </c>
      <c r="B24" s="2">
        <f>B22-B23</f>
        <v>39175</v>
      </c>
      <c r="C24" s="2">
        <f t="shared" ref="C24:M24" si="35">C22-C23</f>
        <v>42688</v>
      </c>
      <c r="D24" s="2">
        <f t="shared" si="35"/>
        <v>43464</v>
      </c>
      <c r="E24" s="2">
        <f t="shared" si="35"/>
        <v>48735</v>
      </c>
      <c r="F24" s="2">
        <f t="shared" si="35"/>
        <v>46827</v>
      </c>
      <c r="G24" s="2">
        <f t="shared" si="35"/>
        <v>49235</v>
      </c>
      <c r="H24" s="2">
        <f t="shared" si="35"/>
        <v>51794</v>
      </c>
      <c r="I24" s="2">
        <f t="shared" si="35"/>
        <v>55856</v>
      </c>
      <c r="J24" s="2">
        <f t="shared" si="35"/>
        <v>53178.471599999997</v>
      </c>
      <c r="K24" s="2">
        <f t="shared" si="35"/>
        <v>56917.156239999997</v>
      </c>
      <c r="L24" s="2">
        <f t="shared" si="35"/>
        <v>60989.503653519998</v>
      </c>
      <c r="M24" s="2">
        <f t="shared" si="35"/>
        <v>65430.766871437612</v>
      </c>
      <c r="P24" s="2">
        <f>P22-P23</f>
        <v>89961</v>
      </c>
      <c r="Q24" s="2">
        <f>Q22-Q23</f>
        <v>97795</v>
      </c>
      <c r="R24" s="2">
        <f>R22-R23</f>
        <v>146698</v>
      </c>
      <c r="S24" s="2">
        <f t="shared" ref="S24:U24" si="36">S22-S23</f>
        <v>156633</v>
      </c>
      <c r="T24" s="2">
        <f t="shared" si="36"/>
        <v>174062</v>
      </c>
      <c r="U24" s="2">
        <f t="shared" si="36"/>
        <v>203716</v>
      </c>
      <c r="V24" s="2">
        <f>V22-V23</f>
        <v>236515.8983649576</v>
      </c>
      <c r="W24" s="2">
        <f>W22-W23</f>
        <v>264602.46313517977</v>
      </c>
      <c r="X24" s="2">
        <f>X22-X23</f>
        <v>296490.51032235043</v>
      </c>
      <c r="Y24" s="2">
        <f>Y22-Y23</f>
        <v>332739.20575601456</v>
      </c>
      <c r="Z24" s="2">
        <f>Z22-Z23</f>
        <v>373996.86232456175</v>
      </c>
    </row>
    <row r="25" spans="1:26" x14ac:dyDescent="0.25">
      <c r="A25" s="2" t="s">
        <v>10</v>
      </c>
      <c r="B25" s="2">
        <v>11468</v>
      </c>
      <c r="C25" s="2">
        <v>10588</v>
      </c>
      <c r="D25" s="2">
        <v>11258</v>
      </c>
      <c r="E25" s="2">
        <v>12113</v>
      </c>
      <c r="F25" s="2">
        <v>11903</v>
      </c>
      <c r="G25" s="2">
        <v>11860</v>
      </c>
      <c r="H25" s="2">
        <v>12447</v>
      </c>
      <c r="I25" s="2">
        <v>13116</v>
      </c>
      <c r="J25" s="2">
        <f>I25*(1+J39)</f>
        <v>12465.838293337758</v>
      </c>
      <c r="K25" s="2">
        <f t="shared" ref="K25:M25" si="37">J25*(1+K39)</f>
        <v>13342.24253644176</v>
      </c>
      <c r="L25" s="2">
        <f t="shared" si="37"/>
        <v>14296.862381725779</v>
      </c>
      <c r="M25" s="2">
        <f t="shared" si="37"/>
        <v>15337.961672979383</v>
      </c>
      <c r="P25" s="2">
        <v>26018</v>
      </c>
      <c r="Q25" s="2">
        <v>27573</v>
      </c>
      <c r="R25" s="2">
        <v>31562</v>
      </c>
      <c r="S25" s="2">
        <v>39500</v>
      </c>
      <c r="T25" s="2">
        <v>45247</v>
      </c>
      <c r="U25" s="2">
        <v>49326</v>
      </c>
      <c r="V25" s="2">
        <f>U25*(1+V38)</f>
        <v>57466.912552624875</v>
      </c>
      <c r="W25" s="2">
        <f>V25*(1+W38)</f>
        <v>64291.181756986873</v>
      </c>
      <c r="X25" s="2">
        <f>W25*(1+X38)</f>
        <v>72039.107506787623</v>
      </c>
      <c r="Y25" s="2">
        <f>X25*(1+Y38)</f>
        <v>80846.551847881216</v>
      </c>
      <c r="Z25" s="2">
        <f>Y25*(1+Z38)</f>
        <v>90871.037130018231</v>
      </c>
    </row>
    <row r="26" spans="1:26" x14ac:dyDescent="0.25">
      <c r="A26" s="2" t="s">
        <v>11</v>
      </c>
      <c r="B26" s="2">
        <v>6533</v>
      </c>
      <c r="C26" s="2">
        <v>6781</v>
      </c>
      <c r="D26" s="2">
        <v>6884</v>
      </c>
      <c r="E26" s="2">
        <v>7719</v>
      </c>
      <c r="F26" s="2">
        <v>6426</v>
      </c>
      <c r="G26" s="2">
        <v>6792</v>
      </c>
      <c r="H26" s="2">
        <v>7227</v>
      </c>
      <c r="I26" s="2">
        <v>7363</v>
      </c>
      <c r="J26" s="2">
        <f>I26*(1+J39)</f>
        <v>6998.0151992868186</v>
      </c>
      <c r="K26" s="2">
        <f t="shared" ref="K26:M26" si="38">J26*(1+K39)</f>
        <v>7490.0069987664438</v>
      </c>
      <c r="L26" s="2">
        <f t="shared" si="38"/>
        <v>8025.9071147184286</v>
      </c>
      <c r="M26" s="2">
        <f t="shared" si="38"/>
        <v>8610.3546659154617</v>
      </c>
      <c r="P26" s="2">
        <v>18464</v>
      </c>
      <c r="Q26" s="2">
        <v>17946</v>
      </c>
      <c r="R26" s="2">
        <v>22912</v>
      </c>
      <c r="S26" s="2">
        <v>26567</v>
      </c>
      <c r="T26" s="2">
        <v>27917</v>
      </c>
      <c r="U26" s="2">
        <v>27808</v>
      </c>
      <c r="V26" s="2">
        <f>U26*(1+V38/2)</f>
        <v>30102.75830457966</v>
      </c>
      <c r="W26" s="2">
        <f>V26*(1+W38/2)</f>
        <v>31890.128787343761</v>
      </c>
      <c r="X26" s="2">
        <f>W26*(1+X38/2)</f>
        <v>33811.716968207082</v>
      </c>
      <c r="Y26" s="2">
        <f>X26*(1+Y38/2)</f>
        <v>35878.613863384715</v>
      </c>
      <c r="Z26" s="2">
        <f>Y26*(1+Z38/2)</f>
        <v>38102.979828266638</v>
      </c>
    </row>
    <row r="27" spans="1:26" x14ac:dyDescent="0.25">
      <c r="A27" s="2" t="s">
        <v>12</v>
      </c>
      <c r="B27" s="2">
        <v>3759</v>
      </c>
      <c r="C27" s="2">
        <v>3481</v>
      </c>
      <c r="D27" s="2">
        <v>3979</v>
      </c>
      <c r="E27" s="2">
        <v>5206</v>
      </c>
      <c r="F27" s="2">
        <v>3026</v>
      </c>
      <c r="G27" s="2">
        <v>3158</v>
      </c>
      <c r="H27" s="2">
        <v>3599</v>
      </c>
      <c r="I27" s="2">
        <v>4405</v>
      </c>
      <c r="J27" s="2">
        <f>I27*(1+J39)</f>
        <v>4186.643617120526</v>
      </c>
      <c r="K27" s="2">
        <f t="shared" ref="K27:M27" si="39">J27*(1+K39)</f>
        <v>4480.983407519514</v>
      </c>
      <c r="L27" s="2">
        <f t="shared" si="39"/>
        <v>4801.5918566256523</v>
      </c>
      <c r="M27" s="2">
        <f t="shared" si="39"/>
        <v>5151.2443709571653</v>
      </c>
      <c r="P27" s="2">
        <f>9551+1697</f>
        <v>11248</v>
      </c>
      <c r="Q27" s="2">
        <v>11052</v>
      </c>
      <c r="R27" s="2">
        <v>13510</v>
      </c>
      <c r="S27" s="2">
        <v>15724</v>
      </c>
      <c r="T27" s="2">
        <v>16425</v>
      </c>
      <c r="U27" s="2">
        <v>14188</v>
      </c>
      <c r="V27" s="2">
        <f>U27*(1+V38/3)</f>
        <v>14968.54350847181</v>
      </c>
      <c r="W27" s="2">
        <f>V27*(1+W38/3)</f>
        <v>15561.054723254025</v>
      </c>
      <c r="X27" s="2">
        <f>W27*(1+X38/3)</f>
        <v>16186.158059302417</v>
      </c>
      <c r="Y27" s="2">
        <f>X27*(1+Y38/3)</f>
        <v>16845.793689343212</v>
      </c>
      <c r="Z27" s="2">
        <f>Y27*(1+Z38/3)</f>
        <v>17542.052659968947</v>
      </c>
    </row>
    <row r="28" spans="1:26" x14ac:dyDescent="0.25">
      <c r="A28" s="2" t="s">
        <v>49</v>
      </c>
      <c r="B28" s="2">
        <f>SUM(B25:B27)</f>
        <v>21760</v>
      </c>
      <c r="C28" s="2">
        <f t="shared" ref="C28:K28" si="40">SUM(C25:C27)</f>
        <v>20850</v>
      </c>
      <c r="D28" s="2">
        <f t="shared" si="40"/>
        <v>22121</v>
      </c>
      <c r="E28" s="2">
        <f t="shared" si="40"/>
        <v>25038</v>
      </c>
      <c r="F28" s="2">
        <f t="shared" si="40"/>
        <v>21355</v>
      </c>
      <c r="G28" s="2">
        <f t="shared" si="40"/>
        <v>21810</v>
      </c>
      <c r="H28" s="2">
        <f t="shared" si="40"/>
        <v>23273</v>
      </c>
      <c r="I28" s="2">
        <f t="shared" si="40"/>
        <v>24884</v>
      </c>
      <c r="J28" s="2">
        <f t="shared" si="40"/>
        <v>23650.497109745105</v>
      </c>
      <c r="K28" s="2">
        <f t="shared" si="40"/>
        <v>25313.232942727718</v>
      </c>
      <c r="L28" s="2">
        <f t="shared" ref="L28:M28" si="41">SUM(L25:L27)</f>
        <v>27124.36135306986</v>
      </c>
      <c r="M28" s="2">
        <f t="shared" si="41"/>
        <v>29099.560709852012</v>
      </c>
      <c r="P28" s="2">
        <f t="shared" ref="P28:Z28" si="42">SUM(P25:P27)</f>
        <v>55730</v>
      </c>
      <c r="Q28" s="2">
        <f t="shared" si="42"/>
        <v>56571</v>
      </c>
      <c r="R28" s="2">
        <f t="shared" si="42"/>
        <v>67984</v>
      </c>
      <c r="S28" s="2">
        <f t="shared" si="42"/>
        <v>81791</v>
      </c>
      <c r="T28" s="2">
        <f t="shared" si="42"/>
        <v>89589</v>
      </c>
      <c r="U28" s="2">
        <f t="shared" si="42"/>
        <v>91322</v>
      </c>
      <c r="V28" s="2">
        <f t="shared" si="42"/>
        <v>102538.21436567634</v>
      </c>
      <c r="W28" s="2">
        <f t="shared" si="42"/>
        <v>111742.36526758465</v>
      </c>
      <c r="X28" s="2">
        <f t="shared" si="42"/>
        <v>122036.98253429712</v>
      </c>
      <c r="Y28" s="2">
        <f t="shared" si="42"/>
        <v>133570.95940060914</v>
      </c>
      <c r="Z28" s="2">
        <f t="shared" si="42"/>
        <v>146516.06961825379</v>
      </c>
    </row>
    <row r="29" spans="1:26" x14ac:dyDescent="0.25">
      <c r="A29" s="2" t="s">
        <v>48</v>
      </c>
      <c r="B29" s="2">
        <f>B24-B28</f>
        <v>17415</v>
      </c>
      <c r="C29" s="2">
        <f t="shared" ref="C29:K29" si="43">C24-C28</f>
        <v>21838</v>
      </c>
      <c r="D29" s="2">
        <f t="shared" si="43"/>
        <v>21343</v>
      </c>
      <c r="E29" s="2">
        <f t="shared" si="43"/>
        <v>23697</v>
      </c>
      <c r="F29" s="2">
        <f t="shared" si="43"/>
        <v>25472</v>
      </c>
      <c r="G29" s="2">
        <f t="shared" si="43"/>
        <v>27425</v>
      </c>
      <c r="H29" s="2">
        <f t="shared" si="43"/>
        <v>28521</v>
      </c>
      <c r="I29" s="2">
        <f t="shared" si="43"/>
        <v>30972</v>
      </c>
      <c r="J29" s="2">
        <f t="shared" si="43"/>
        <v>29527.974490254892</v>
      </c>
      <c r="K29" s="2">
        <f t="shared" si="43"/>
        <v>31603.923297272278</v>
      </c>
      <c r="L29" s="2">
        <f t="shared" ref="L29:M29" si="44">L24-L28</f>
        <v>33865.142300450141</v>
      </c>
      <c r="M29" s="2">
        <f t="shared" si="44"/>
        <v>36331.2061615856</v>
      </c>
      <c r="P29" s="2">
        <f t="shared" ref="P29:Z29" si="45">P24-P28</f>
        <v>34231</v>
      </c>
      <c r="Q29" s="2">
        <f t="shared" si="45"/>
        <v>41224</v>
      </c>
      <c r="R29" s="2">
        <f t="shared" si="45"/>
        <v>78714</v>
      </c>
      <c r="S29" s="2">
        <f t="shared" si="45"/>
        <v>74842</v>
      </c>
      <c r="T29" s="2">
        <f t="shared" si="45"/>
        <v>84473</v>
      </c>
      <c r="U29" s="2">
        <f t="shared" si="45"/>
        <v>112394</v>
      </c>
      <c r="V29" s="2">
        <f t="shared" si="45"/>
        <v>133977.68399928126</v>
      </c>
      <c r="W29" s="2">
        <f t="shared" si="45"/>
        <v>152860.09786759512</v>
      </c>
      <c r="X29" s="2">
        <f t="shared" si="45"/>
        <v>174453.52778805332</v>
      </c>
      <c r="Y29" s="2">
        <f t="shared" si="45"/>
        <v>199168.24635540543</v>
      </c>
      <c r="Z29" s="2">
        <f t="shared" si="45"/>
        <v>227480.79270630796</v>
      </c>
    </row>
    <row r="30" spans="1:26" x14ac:dyDescent="0.25">
      <c r="A30" s="2" t="s">
        <v>13</v>
      </c>
      <c r="J30" s="2">
        <f>I56*$AC$96/4</f>
        <v>1271.6099999999999</v>
      </c>
      <c r="V30" s="2">
        <f>U56*$AC$96</f>
        <v>5086.4399999999996</v>
      </c>
      <c r="W30" s="2">
        <f>V56*$AC$96</f>
        <v>11922.71642636507</v>
      </c>
      <c r="X30" s="2">
        <f>W56*$AC$96</f>
        <v>20009.698801051534</v>
      </c>
      <c r="Y30" s="2">
        <f>X56*$AC$96</f>
        <v>29539.934589282031</v>
      </c>
      <c r="Z30" s="2">
        <f>Y56*$AC$96</f>
        <v>40735.268388953846</v>
      </c>
    </row>
    <row r="31" spans="1:26" x14ac:dyDescent="0.25">
      <c r="A31" s="2" t="s">
        <v>14</v>
      </c>
      <c r="B31" s="2">
        <v>790</v>
      </c>
      <c r="C31" s="2">
        <v>65</v>
      </c>
      <c r="D31" s="2">
        <v>-146</v>
      </c>
      <c r="E31" s="2">
        <v>715</v>
      </c>
      <c r="F31" s="2">
        <v>2843</v>
      </c>
      <c r="G31" s="2">
        <v>126</v>
      </c>
      <c r="H31" s="2">
        <v>3185</v>
      </c>
      <c r="I31" s="2">
        <v>1271</v>
      </c>
      <c r="J31" s="2">
        <v>1000</v>
      </c>
      <c r="P31" s="2">
        <v>5394</v>
      </c>
      <c r="Q31" s="2">
        <v>6858</v>
      </c>
      <c r="T31" s="2">
        <f>SUM(B31:E31)</f>
        <v>1424</v>
      </c>
      <c r="U31" s="2">
        <f>SUM(F31:I31)</f>
        <v>7425</v>
      </c>
      <c r="V31" s="2">
        <v>1600</v>
      </c>
      <c r="W31" s="2">
        <f>V31*1.01</f>
        <v>1616</v>
      </c>
      <c r="X31" s="2">
        <f t="shared" ref="X31:Z31" si="46">W31*1.01</f>
        <v>1632.16</v>
      </c>
      <c r="Y31" s="2">
        <f t="shared" si="46"/>
        <v>1648.4816000000001</v>
      </c>
      <c r="Z31" s="2">
        <f t="shared" si="46"/>
        <v>1664.966416</v>
      </c>
    </row>
    <row r="32" spans="1:26" x14ac:dyDescent="0.25">
      <c r="A32" s="2" t="s">
        <v>16</v>
      </c>
      <c r="B32" s="2">
        <f>B29+SUM(B30:B31)</f>
        <v>18205</v>
      </c>
      <c r="C32" s="2">
        <f t="shared" ref="C32:K32" si="47">C29+SUM(C30:C31)</f>
        <v>21903</v>
      </c>
      <c r="D32" s="2">
        <f t="shared" si="47"/>
        <v>21197</v>
      </c>
      <c r="E32" s="2">
        <f t="shared" si="47"/>
        <v>24412</v>
      </c>
      <c r="F32" s="2">
        <f t="shared" si="47"/>
        <v>28315</v>
      </c>
      <c r="G32" s="2">
        <f t="shared" si="47"/>
        <v>27551</v>
      </c>
      <c r="H32" s="2">
        <f t="shared" si="47"/>
        <v>31706</v>
      </c>
      <c r="I32" s="2">
        <f t="shared" si="47"/>
        <v>32243</v>
      </c>
      <c r="J32" s="2">
        <f t="shared" si="47"/>
        <v>31799.584490254892</v>
      </c>
      <c r="K32" s="2">
        <f t="shared" si="47"/>
        <v>31603.923297272278</v>
      </c>
      <c r="L32" s="2">
        <f t="shared" ref="L32:M32" si="48">L29+SUM(L30:L31)</f>
        <v>33865.142300450141</v>
      </c>
      <c r="M32" s="2">
        <f t="shared" si="48"/>
        <v>36331.2061615856</v>
      </c>
      <c r="N32" s="3"/>
      <c r="O32" s="3"/>
      <c r="P32" s="2">
        <f t="shared" ref="P32:U32" si="49">SUM(P29:P31)</f>
        <v>39625</v>
      </c>
      <c r="Q32" s="2">
        <f t="shared" si="49"/>
        <v>48082</v>
      </c>
      <c r="R32" s="2">
        <f t="shared" si="49"/>
        <v>78714</v>
      </c>
      <c r="S32" s="2">
        <f t="shared" si="49"/>
        <v>74842</v>
      </c>
      <c r="T32" s="2">
        <f t="shared" si="49"/>
        <v>85897</v>
      </c>
      <c r="U32" s="2">
        <f t="shared" si="49"/>
        <v>119819</v>
      </c>
      <c r="V32" s="2">
        <f t="shared" ref="V32:Z32" si="50">SUM(V29:V31)</f>
        <v>140664.12399928126</v>
      </c>
      <c r="W32" s="2">
        <f t="shared" si="50"/>
        <v>166398.8142939602</v>
      </c>
      <c r="X32" s="2">
        <f t="shared" si="50"/>
        <v>196095.38658910486</v>
      </c>
      <c r="Y32" s="2">
        <f t="shared" si="50"/>
        <v>230356.66254468745</v>
      </c>
      <c r="Z32" s="2">
        <f t="shared" si="50"/>
        <v>269881.02751126181</v>
      </c>
    </row>
    <row r="33" spans="1:220" x14ac:dyDescent="0.25">
      <c r="A33" s="2" t="s">
        <v>15</v>
      </c>
      <c r="B33" s="2">
        <v>3154</v>
      </c>
      <c r="C33" s="2">
        <v>3535</v>
      </c>
      <c r="D33" s="2">
        <v>1508</v>
      </c>
      <c r="E33" s="2">
        <v>3725</v>
      </c>
      <c r="F33" s="2">
        <v>4653</v>
      </c>
      <c r="G33" s="2">
        <v>3932</v>
      </c>
      <c r="H33" s="2">
        <v>5405</v>
      </c>
      <c r="I33" s="2">
        <v>5707</v>
      </c>
      <c r="J33" s="2">
        <f>J32*J40</f>
        <v>6041.9210531484296</v>
      </c>
      <c r="K33" s="2">
        <f>K32*K40</f>
        <v>6004.7454264817334</v>
      </c>
      <c r="L33" s="2">
        <f>L32*L40</f>
        <v>6434.3770370855273</v>
      </c>
      <c r="M33" s="2">
        <f>M32*M40</f>
        <v>6902.9291707012644</v>
      </c>
      <c r="P33" s="2">
        <v>5282</v>
      </c>
      <c r="Q33" s="2">
        <v>7813</v>
      </c>
      <c r="R33" s="2">
        <v>14701</v>
      </c>
      <c r="S33" s="2">
        <v>11356</v>
      </c>
      <c r="T33" s="2">
        <v>11922</v>
      </c>
      <c r="U33" s="2">
        <v>19697</v>
      </c>
      <c r="V33" s="2">
        <f>V32*V40</f>
        <v>26726.183559863439</v>
      </c>
      <c r="W33" s="2">
        <f>W32*W40</f>
        <v>31615.774715852436</v>
      </c>
      <c r="X33" s="2">
        <f>X32*X40</f>
        <v>37258.123451929925</v>
      </c>
      <c r="Y33" s="2">
        <f>Y32*Y40</f>
        <v>43767.765883490618</v>
      </c>
      <c r="Z33" s="2">
        <f>Z32*Z40</f>
        <v>51277.395227139743</v>
      </c>
    </row>
    <row r="34" spans="1:220" s="5" customFormat="1" x14ac:dyDescent="0.25">
      <c r="A34" s="5" t="s">
        <v>17</v>
      </c>
      <c r="B34" s="5">
        <f>B32-B33</f>
        <v>15051</v>
      </c>
      <c r="C34" s="5">
        <f t="shared" ref="C34:K34" si="51">C32-C33</f>
        <v>18368</v>
      </c>
      <c r="D34" s="5">
        <f t="shared" si="51"/>
        <v>19689</v>
      </c>
      <c r="E34" s="5">
        <f t="shared" si="51"/>
        <v>20687</v>
      </c>
      <c r="F34" s="5">
        <f t="shared" si="51"/>
        <v>23662</v>
      </c>
      <c r="G34" s="5">
        <f t="shared" si="51"/>
        <v>23619</v>
      </c>
      <c r="H34" s="5">
        <f t="shared" si="51"/>
        <v>26301</v>
      </c>
      <c r="I34" s="5">
        <f t="shared" si="51"/>
        <v>26536</v>
      </c>
      <c r="J34" s="5">
        <f t="shared" si="51"/>
        <v>25757.663437106465</v>
      </c>
      <c r="K34" s="5">
        <f t="shared" si="51"/>
        <v>25599.177870790547</v>
      </c>
      <c r="L34" s="5">
        <f t="shared" ref="L34:M34" si="52">L32-L33</f>
        <v>27430.765263364614</v>
      </c>
      <c r="M34" s="5">
        <f t="shared" si="52"/>
        <v>29428.276990884337</v>
      </c>
      <c r="P34" s="5">
        <f t="shared" ref="P34:U34" si="53">P32-P33</f>
        <v>34343</v>
      </c>
      <c r="Q34" s="5">
        <f t="shared" si="53"/>
        <v>40269</v>
      </c>
      <c r="R34" s="5">
        <f t="shared" si="53"/>
        <v>64013</v>
      </c>
      <c r="S34" s="5">
        <f t="shared" si="53"/>
        <v>63486</v>
      </c>
      <c r="T34" s="5">
        <f t="shared" si="53"/>
        <v>73975</v>
      </c>
      <c r="U34" s="5">
        <f t="shared" si="53"/>
        <v>100122</v>
      </c>
      <c r="V34" s="5">
        <f t="shared" ref="V34:Z34" si="54">V32-V33</f>
        <v>113937.94043941783</v>
      </c>
      <c r="W34" s="5">
        <f t="shared" si="54"/>
        <v>134783.03957810777</v>
      </c>
      <c r="X34" s="5">
        <f t="shared" si="54"/>
        <v>158837.26313717494</v>
      </c>
      <c r="Y34" s="5">
        <f t="shared" si="54"/>
        <v>186588.89666119684</v>
      </c>
      <c r="Z34" s="5">
        <f t="shared" si="54"/>
        <v>218603.63228412205</v>
      </c>
      <c r="AA34" s="5">
        <f t="shared" ref="AA34:BF34" si="55">Z34*(1+$AC$97)</f>
        <v>220789.66860696327</v>
      </c>
      <c r="AB34" s="5">
        <f t="shared" si="55"/>
        <v>222997.56529303291</v>
      </c>
      <c r="AC34" s="5">
        <f t="shared" si="55"/>
        <v>225227.54094596324</v>
      </c>
      <c r="AD34" s="5">
        <f t="shared" si="55"/>
        <v>227479.81635542287</v>
      </c>
      <c r="AE34" s="5">
        <f t="shared" si="55"/>
        <v>229754.61451897709</v>
      </c>
      <c r="AF34" s="5">
        <f t="shared" si="55"/>
        <v>232052.16066416688</v>
      </c>
      <c r="AG34" s="5">
        <f t="shared" si="55"/>
        <v>234372.68227080855</v>
      </c>
      <c r="AH34" s="5">
        <f t="shared" si="55"/>
        <v>236716.40909351665</v>
      </c>
      <c r="AI34" s="5">
        <f t="shared" si="55"/>
        <v>239083.57318445182</v>
      </c>
      <c r="AJ34" s="5">
        <f t="shared" si="55"/>
        <v>241474.40891629635</v>
      </c>
      <c r="AK34" s="5">
        <f t="shared" si="55"/>
        <v>243889.15300545932</v>
      </c>
      <c r="AL34" s="5">
        <f t="shared" si="55"/>
        <v>246328.04453551391</v>
      </c>
      <c r="AM34" s="5">
        <f t="shared" si="55"/>
        <v>248791.32498086905</v>
      </c>
      <c r="AN34" s="5">
        <f t="shared" si="55"/>
        <v>251279.23823067773</v>
      </c>
      <c r="AO34" s="5">
        <f t="shared" si="55"/>
        <v>253792.0306129845</v>
      </c>
      <c r="AP34" s="5">
        <f t="shared" si="55"/>
        <v>256329.95091911434</v>
      </c>
      <c r="AQ34" s="5">
        <f t="shared" si="55"/>
        <v>258893.2504283055</v>
      </c>
      <c r="AR34" s="5">
        <f t="shared" si="55"/>
        <v>261482.18293258856</v>
      </c>
      <c r="AS34" s="5">
        <f t="shared" si="55"/>
        <v>264097.00476191443</v>
      </c>
      <c r="AT34" s="5">
        <f t="shared" si="55"/>
        <v>266737.97480953357</v>
      </c>
      <c r="AU34" s="5">
        <f t="shared" si="55"/>
        <v>269405.35455762892</v>
      </c>
      <c r="AV34" s="5">
        <f t="shared" si="55"/>
        <v>272099.40810320521</v>
      </c>
      <c r="AW34" s="5">
        <f t="shared" si="55"/>
        <v>274820.40218423726</v>
      </c>
      <c r="AX34" s="5">
        <f t="shared" si="55"/>
        <v>277568.60620607965</v>
      </c>
      <c r="AY34" s="5">
        <f t="shared" si="55"/>
        <v>280344.29226814047</v>
      </c>
      <c r="AZ34" s="5">
        <f t="shared" si="55"/>
        <v>283147.73519082187</v>
      </c>
      <c r="BA34" s="5">
        <f t="shared" si="55"/>
        <v>285979.21254273009</v>
      </c>
      <c r="BB34" s="5">
        <f t="shared" si="55"/>
        <v>288839.00466815737</v>
      </c>
      <c r="BC34" s="5">
        <f t="shared" si="55"/>
        <v>291727.39471483894</v>
      </c>
      <c r="BD34" s="5">
        <f t="shared" si="55"/>
        <v>294644.66866198735</v>
      </c>
      <c r="BE34" s="5">
        <f t="shared" si="55"/>
        <v>297591.11534860724</v>
      </c>
      <c r="BF34" s="5">
        <f t="shared" si="55"/>
        <v>300567.0265020933</v>
      </c>
      <c r="BG34" s="5">
        <f t="shared" ref="BG34:CL34" si="56">BF34*(1+$AC$97)</f>
        <v>303572.69676711422</v>
      </c>
      <c r="BH34" s="5">
        <f t="shared" si="56"/>
        <v>306608.42373478535</v>
      </c>
      <c r="BI34" s="5">
        <f t="shared" si="56"/>
        <v>309674.50797213323</v>
      </c>
      <c r="BJ34" s="5">
        <f t="shared" si="56"/>
        <v>312771.25305185455</v>
      </c>
      <c r="BK34" s="5">
        <f t="shared" si="56"/>
        <v>315898.96558237309</v>
      </c>
      <c r="BL34" s="5">
        <f t="shared" si="56"/>
        <v>319057.95523819682</v>
      </c>
      <c r="BM34" s="5">
        <f t="shared" si="56"/>
        <v>322248.53479057882</v>
      </c>
      <c r="BN34" s="5">
        <f t="shared" si="56"/>
        <v>325471.0201384846</v>
      </c>
      <c r="BO34" s="5">
        <f t="shared" si="56"/>
        <v>328725.73033986945</v>
      </c>
      <c r="BP34" s="5">
        <f t="shared" si="56"/>
        <v>332012.98764326813</v>
      </c>
      <c r="BQ34" s="5">
        <f t="shared" si="56"/>
        <v>335333.11751970084</v>
      </c>
      <c r="BR34" s="5">
        <f t="shared" si="56"/>
        <v>338686.44869489787</v>
      </c>
      <c r="BS34" s="5">
        <f t="shared" si="56"/>
        <v>342073.31318184687</v>
      </c>
      <c r="BT34" s="5">
        <f t="shared" si="56"/>
        <v>345494.04631366534</v>
      </c>
      <c r="BU34" s="5">
        <f t="shared" si="56"/>
        <v>348948.98677680199</v>
      </c>
      <c r="BV34" s="5">
        <f t="shared" si="56"/>
        <v>352438.47664457001</v>
      </c>
      <c r="BW34" s="5">
        <f t="shared" si="56"/>
        <v>355962.86141101574</v>
      </c>
      <c r="BX34" s="5">
        <f t="shared" si="56"/>
        <v>359522.49002512591</v>
      </c>
      <c r="BY34" s="5">
        <f t="shared" si="56"/>
        <v>363117.71492537716</v>
      </c>
      <c r="BZ34" s="5">
        <f t="shared" si="56"/>
        <v>366748.89207463094</v>
      </c>
      <c r="CA34" s="5">
        <f t="shared" si="56"/>
        <v>370416.38099537726</v>
      </c>
      <c r="CB34" s="5">
        <f t="shared" si="56"/>
        <v>374120.54480533104</v>
      </c>
      <c r="CC34" s="5">
        <f t="shared" si="56"/>
        <v>377861.75025338435</v>
      </c>
      <c r="CD34" s="5">
        <f t="shared" si="56"/>
        <v>381640.36775591818</v>
      </c>
      <c r="CE34" s="5">
        <f t="shared" si="56"/>
        <v>385456.77143347735</v>
      </c>
      <c r="CF34" s="5">
        <f t="shared" si="56"/>
        <v>389311.3391478121</v>
      </c>
      <c r="CG34" s="5">
        <f t="shared" si="56"/>
        <v>393204.45253929024</v>
      </c>
      <c r="CH34" s="5">
        <f t="shared" si="56"/>
        <v>397136.49706468312</v>
      </c>
      <c r="CI34" s="5">
        <f t="shared" si="56"/>
        <v>401107.86203532998</v>
      </c>
      <c r="CJ34" s="5">
        <f t="shared" si="56"/>
        <v>405118.94065568328</v>
      </c>
      <c r="CK34" s="5">
        <f t="shared" si="56"/>
        <v>409170.13006224012</v>
      </c>
      <c r="CL34" s="5">
        <f t="shared" si="56"/>
        <v>413261.83136286255</v>
      </c>
      <c r="CM34" s="5">
        <f t="shared" ref="CM34:DR34" si="57">CL34*(1+$AC$97)</f>
        <v>417394.4496764912</v>
      </c>
      <c r="CN34" s="5">
        <f t="shared" si="57"/>
        <v>421568.39417325612</v>
      </c>
      <c r="CO34" s="5">
        <f t="shared" si="57"/>
        <v>425784.07811498869</v>
      </c>
      <c r="CP34" s="5">
        <f t="shared" si="57"/>
        <v>430041.91889613855</v>
      </c>
      <c r="CQ34" s="5">
        <f t="shared" si="57"/>
        <v>434342.33808509994</v>
      </c>
      <c r="CR34" s="5">
        <f t="shared" si="57"/>
        <v>438685.76146595093</v>
      </c>
      <c r="CS34" s="5">
        <f t="shared" si="57"/>
        <v>443072.61908061046</v>
      </c>
      <c r="CT34" s="5">
        <f t="shared" si="57"/>
        <v>447503.34527141659</v>
      </c>
      <c r="CU34" s="5">
        <f t="shared" si="57"/>
        <v>451978.37872413074</v>
      </c>
      <c r="CV34" s="5">
        <f t="shared" si="57"/>
        <v>456498.16251137207</v>
      </c>
      <c r="CW34" s="5">
        <f t="shared" si="57"/>
        <v>461063.14413648582</v>
      </c>
      <c r="CX34" s="5">
        <f t="shared" si="57"/>
        <v>465673.7755778507</v>
      </c>
      <c r="CY34" s="5">
        <f t="shared" si="57"/>
        <v>470330.51333362923</v>
      </c>
      <c r="CZ34" s="5">
        <f t="shared" si="57"/>
        <v>475033.81846696552</v>
      </c>
      <c r="DA34" s="5">
        <f t="shared" si="57"/>
        <v>479784.15665163519</v>
      </c>
      <c r="DB34" s="5">
        <f t="shared" si="57"/>
        <v>484581.99821815157</v>
      </c>
      <c r="DC34" s="5">
        <f t="shared" si="57"/>
        <v>489427.8182003331</v>
      </c>
      <c r="DD34" s="5">
        <f t="shared" si="57"/>
        <v>494322.09638233646</v>
      </c>
      <c r="DE34" s="5">
        <f t="shared" si="57"/>
        <v>499265.31734615983</v>
      </c>
      <c r="DF34" s="5">
        <f t="shared" si="57"/>
        <v>504257.97051962145</v>
      </c>
      <c r="DG34" s="5">
        <f t="shared" si="57"/>
        <v>509300.55022481765</v>
      </c>
      <c r="DH34" s="5">
        <f t="shared" si="57"/>
        <v>514393.55572706583</v>
      </c>
      <c r="DI34" s="5">
        <f t="shared" si="57"/>
        <v>519537.49128433649</v>
      </c>
      <c r="DJ34" s="5">
        <f t="shared" si="57"/>
        <v>524732.86619717989</v>
      </c>
      <c r="DK34" s="5">
        <f t="shared" si="57"/>
        <v>529980.19485915173</v>
      </c>
      <c r="DL34" s="5">
        <f t="shared" si="57"/>
        <v>535279.99680774321</v>
      </c>
      <c r="DM34" s="5">
        <f t="shared" si="57"/>
        <v>540632.79677582067</v>
      </c>
      <c r="DN34" s="5">
        <f t="shared" si="57"/>
        <v>546039.12474357884</v>
      </c>
      <c r="DO34" s="5">
        <f t="shared" si="57"/>
        <v>551499.51599101466</v>
      </c>
      <c r="DP34" s="5">
        <f t="shared" si="57"/>
        <v>557014.51115092484</v>
      </c>
      <c r="DQ34" s="5">
        <f t="shared" si="57"/>
        <v>562584.65626243409</v>
      </c>
      <c r="DR34" s="5">
        <f t="shared" si="57"/>
        <v>568210.50282505841</v>
      </c>
      <c r="DS34" s="5">
        <f t="shared" ref="DS34:EX34" si="58">DR34*(1+$AC$97)</f>
        <v>573892.60785330902</v>
      </c>
      <c r="DT34" s="5">
        <f t="shared" si="58"/>
        <v>579631.53393184207</v>
      </c>
      <c r="DU34" s="5">
        <f t="shared" si="58"/>
        <v>585427.84927116055</v>
      </c>
      <c r="DV34" s="5">
        <f t="shared" si="58"/>
        <v>591282.12776387215</v>
      </c>
      <c r="DW34" s="5">
        <f t="shared" si="58"/>
        <v>597194.94904151093</v>
      </c>
      <c r="DX34" s="5">
        <f t="shared" si="58"/>
        <v>603166.8985319261</v>
      </c>
      <c r="DY34" s="5">
        <f t="shared" si="58"/>
        <v>609198.56751724542</v>
      </c>
      <c r="DZ34" s="5">
        <f t="shared" si="58"/>
        <v>615290.55319241784</v>
      </c>
      <c r="EA34" s="5">
        <f t="shared" si="58"/>
        <v>621443.45872434205</v>
      </c>
      <c r="EB34" s="5">
        <f t="shared" si="58"/>
        <v>627657.89331158553</v>
      </c>
      <c r="EC34" s="5">
        <f t="shared" si="58"/>
        <v>633934.47224470135</v>
      </c>
      <c r="ED34" s="5">
        <f t="shared" si="58"/>
        <v>640273.81696714833</v>
      </c>
      <c r="EE34" s="5">
        <f t="shared" si="58"/>
        <v>646676.55513681984</v>
      </c>
      <c r="EF34" s="5">
        <f t="shared" si="58"/>
        <v>653143.32068818808</v>
      </c>
      <c r="EG34" s="5">
        <f t="shared" si="58"/>
        <v>659674.75389506994</v>
      </c>
      <c r="EH34" s="5">
        <f t="shared" si="58"/>
        <v>666271.5014340207</v>
      </c>
      <c r="EI34" s="5">
        <f t="shared" si="58"/>
        <v>672934.21644836094</v>
      </c>
      <c r="EJ34" s="5">
        <f t="shared" si="58"/>
        <v>679663.55861284456</v>
      </c>
      <c r="EK34" s="5">
        <f t="shared" si="58"/>
        <v>686460.19419897301</v>
      </c>
      <c r="EL34" s="5">
        <f t="shared" si="58"/>
        <v>693324.79614096275</v>
      </c>
      <c r="EM34" s="5">
        <f t="shared" si="58"/>
        <v>700258.04410237237</v>
      </c>
      <c r="EN34" s="5">
        <f t="shared" si="58"/>
        <v>707260.62454339606</v>
      </c>
      <c r="EO34" s="5">
        <f t="shared" si="58"/>
        <v>714333.23078882997</v>
      </c>
      <c r="EP34" s="5">
        <f t="shared" si="58"/>
        <v>721476.56309671828</v>
      </c>
      <c r="EQ34" s="5">
        <f t="shared" si="58"/>
        <v>728691.3287276855</v>
      </c>
      <c r="ER34" s="5">
        <f t="shared" si="58"/>
        <v>735978.24201496236</v>
      </c>
      <c r="ES34" s="5">
        <f t="shared" si="58"/>
        <v>743338.02443511202</v>
      </c>
      <c r="ET34" s="5">
        <f t="shared" si="58"/>
        <v>750771.40467946313</v>
      </c>
      <c r="EU34" s="5">
        <f t="shared" si="58"/>
        <v>758279.11872625782</v>
      </c>
      <c r="EV34" s="5">
        <f t="shared" si="58"/>
        <v>765861.90991352045</v>
      </c>
      <c r="EW34" s="5">
        <f t="shared" si="58"/>
        <v>773520.52901265561</v>
      </c>
      <c r="EX34" s="5">
        <f t="shared" si="58"/>
        <v>781255.73430278222</v>
      </c>
      <c r="EY34" s="5">
        <f t="shared" ref="EY34:GD34" si="59">EX34*(1+$AC$97)</f>
        <v>789068.29164581001</v>
      </c>
      <c r="EZ34" s="5">
        <f t="shared" si="59"/>
        <v>796958.97456226812</v>
      </c>
      <c r="FA34" s="5">
        <f t="shared" si="59"/>
        <v>804928.56430789083</v>
      </c>
      <c r="FB34" s="5">
        <f t="shared" si="59"/>
        <v>812977.8499509698</v>
      </c>
      <c r="FC34" s="5">
        <f t="shared" si="59"/>
        <v>821107.62845047947</v>
      </c>
      <c r="FD34" s="5">
        <f t="shared" si="59"/>
        <v>829318.70473498432</v>
      </c>
      <c r="FE34" s="5">
        <f t="shared" si="59"/>
        <v>837611.89178233419</v>
      </c>
      <c r="FF34" s="5">
        <f t="shared" si="59"/>
        <v>845988.01070015749</v>
      </c>
      <c r="FG34" s="5">
        <f t="shared" si="59"/>
        <v>854447.89080715913</v>
      </c>
      <c r="FH34" s="5">
        <f t="shared" si="59"/>
        <v>862992.36971523077</v>
      </c>
      <c r="FI34" s="5">
        <f t="shared" si="59"/>
        <v>871622.29341238306</v>
      </c>
      <c r="FJ34" s="5">
        <f t="shared" si="59"/>
        <v>880338.51634650689</v>
      </c>
      <c r="FK34" s="5">
        <f t="shared" si="59"/>
        <v>889141.90150997194</v>
      </c>
      <c r="FL34" s="5">
        <f t="shared" si="59"/>
        <v>898033.3205250717</v>
      </c>
      <c r="FM34" s="5">
        <f t="shared" si="59"/>
        <v>907013.65373032237</v>
      </c>
      <c r="FN34" s="5">
        <f t="shared" si="59"/>
        <v>916083.79026762559</v>
      </c>
      <c r="FO34" s="5">
        <f t="shared" si="59"/>
        <v>925244.6281703019</v>
      </c>
      <c r="FP34" s="5">
        <f t="shared" si="59"/>
        <v>934497.07445200498</v>
      </c>
      <c r="FQ34" s="5">
        <f t="shared" si="59"/>
        <v>943842.04519652505</v>
      </c>
      <c r="FR34" s="5">
        <f t="shared" si="59"/>
        <v>953280.46564849035</v>
      </c>
      <c r="FS34" s="5">
        <f t="shared" si="59"/>
        <v>962813.27030497522</v>
      </c>
      <c r="FT34" s="5">
        <f t="shared" si="59"/>
        <v>972441.40300802502</v>
      </c>
      <c r="FU34" s="5">
        <f t="shared" si="59"/>
        <v>982165.81703810534</v>
      </c>
      <c r="FV34" s="5">
        <f t="shared" si="59"/>
        <v>991987.47520848643</v>
      </c>
      <c r="FW34" s="5">
        <f t="shared" si="59"/>
        <v>1001907.3499605713</v>
      </c>
      <c r="FX34" s="5">
        <f t="shared" si="59"/>
        <v>1011926.423460177</v>
      </c>
      <c r="FY34" s="5">
        <f t="shared" si="59"/>
        <v>1022045.6876947788</v>
      </c>
      <c r="FZ34" s="5">
        <f t="shared" si="59"/>
        <v>1032266.1445717266</v>
      </c>
      <c r="GA34" s="5">
        <f t="shared" si="59"/>
        <v>1042588.8060174439</v>
      </c>
      <c r="GB34" s="5">
        <f t="shared" si="59"/>
        <v>1053014.6940776184</v>
      </c>
      <c r="GC34" s="5">
        <f t="shared" si="59"/>
        <v>1063544.8410183946</v>
      </c>
      <c r="GD34" s="5">
        <f t="shared" si="59"/>
        <v>1074180.2894285785</v>
      </c>
      <c r="GE34" s="5">
        <f t="shared" ref="GE34:HL34" si="60">GD34*(1+$AC$97)</f>
        <v>1084922.0923228643</v>
      </c>
      <c r="GF34" s="5">
        <f t="shared" si="60"/>
        <v>1095771.313246093</v>
      </c>
      <c r="GG34" s="5">
        <f t="shared" si="60"/>
        <v>1106729.0263785538</v>
      </c>
      <c r="GH34" s="5">
        <f t="shared" si="60"/>
        <v>1117796.3166423393</v>
      </c>
      <c r="GI34" s="5">
        <f t="shared" si="60"/>
        <v>1128974.2798087627</v>
      </c>
      <c r="GJ34" s="5">
        <f t="shared" si="60"/>
        <v>1140264.0226068504</v>
      </c>
      <c r="GK34" s="5">
        <f t="shared" si="60"/>
        <v>1151666.6628329188</v>
      </c>
      <c r="GL34" s="5">
        <f t="shared" si="60"/>
        <v>1163183.3294612479</v>
      </c>
      <c r="GM34" s="5">
        <f t="shared" si="60"/>
        <v>1174815.1627558605</v>
      </c>
      <c r="GN34" s="5">
        <f t="shared" si="60"/>
        <v>1186563.314383419</v>
      </c>
      <c r="GO34" s="5">
        <f t="shared" si="60"/>
        <v>1198428.9475272533</v>
      </c>
      <c r="GP34" s="5">
        <f t="shared" si="60"/>
        <v>1210413.2370025259</v>
      </c>
      <c r="GQ34" s="5">
        <f t="shared" si="60"/>
        <v>1222517.3693725513</v>
      </c>
      <c r="GR34" s="5">
        <f t="shared" si="60"/>
        <v>1234742.5430662769</v>
      </c>
      <c r="GS34" s="5">
        <f t="shared" si="60"/>
        <v>1247089.9684969396</v>
      </c>
      <c r="GT34" s="5">
        <f t="shared" si="60"/>
        <v>1259560.868181909</v>
      </c>
      <c r="GU34" s="5">
        <f t="shared" si="60"/>
        <v>1272156.4768637281</v>
      </c>
      <c r="GV34" s="5">
        <f t="shared" si="60"/>
        <v>1284878.0416323654</v>
      </c>
      <c r="GW34" s="5">
        <f t="shared" si="60"/>
        <v>1297726.822048689</v>
      </c>
      <c r="GX34" s="5">
        <f t="shared" si="60"/>
        <v>1310704.0902691758</v>
      </c>
      <c r="GY34" s="5">
        <f t="shared" si="60"/>
        <v>1323811.1311718675</v>
      </c>
      <c r="GZ34" s="5">
        <f t="shared" si="60"/>
        <v>1337049.2424835861</v>
      </c>
      <c r="HA34" s="5">
        <f t="shared" si="60"/>
        <v>1350419.734908422</v>
      </c>
      <c r="HB34" s="5">
        <f t="shared" si="60"/>
        <v>1363923.9322575063</v>
      </c>
      <c r="HC34" s="5">
        <f t="shared" si="60"/>
        <v>1377563.1715800813</v>
      </c>
      <c r="HD34" s="5">
        <f t="shared" si="60"/>
        <v>1391338.8032958822</v>
      </c>
      <c r="HE34" s="5">
        <f t="shared" si="60"/>
        <v>1405252.191328841</v>
      </c>
      <c r="HF34" s="5">
        <f t="shared" si="60"/>
        <v>1419304.7132421294</v>
      </c>
      <c r="HG34" s="5">
        <f t="shared" si="60"/>
        <v>1433497.7603745507</v>
      </c>
      <c r="HH34" s="5">
        <f t="shared" si="60"/>
        <v>1447832.7379782961</v>
      </c>
      <c r="HI34" s="5">
        <f t="shared" si="60"/>
        <v>1462311.065358079</v>
      </c>
      <c r="HJ34" s="5">
        <f t="shared" si="60"/>
        <v>1476934.1760116599</v>
      </c>
      <c r="HK34" s="5">
        <f t="shared" si="60"/>
        <v>1491703.5177717765</v>
      </c>
      <c r="HL34" s="5">
        <f t="shared" si="60"/>
        <v>1506620.5529494942</v>
      </c>
    </row>
    <row r="35" spans="1:220" s="5" customFormat="1" x14ac:dyDescent="0.25">
      <c r="A35" s="2" t="s">
        <v>51</v>
      </c>
      <c r="B35" s="8" t="e">
        <f>B34/B36</f>
        <v>#DIV/0!</v>
      </c>
      <c r="C35" s="8">
        <f t="shared" ref="C35:F35" si="61">C34/C36</f>
        <v>1.439047320589157</v>
      </c>
      <c r="D35" s="8" t="e">
        <f t="shared" si="61"/>
        <v>#DIV/0!</v>
      </c>
      <c r="E35" s="8" t="e">
        <f t="shared" si="61"/>
        <v>#DIV/0!</v>
      </c>
      <c r="F35" s="8" t="e">
        <f t="shared" si="61"/>
        <v>#DIV/0!</v>
      </c>
      <c r="G35" s="8">
        <f>G34/G36</f>
        <v>1.8902761104441776</v>
      </c>
      <c r="H35" s="8">
        <f>H34/H36</f>
        <v>2.1485989706723307</v>
      </c>
      <c r="I35" s="8">
        <f>I34/I36</f>
        <v>2.1662040816326531</v>
      </c>
      <c r="J35" s="8">
        <f t="shared" ref="J35:M35" si="62">J34/J36</f>
        <v>2.1026664030290991</v>
      </c>
      <c r="K35" s="8">
        <f t="shared" si="62"/>
        <v>2.0897288057788201</v>
      </c>
      <c r="L35" s="8">
        <f t="shared" si="62"/>
        <v>2.2392461439481317</v>
      </c>
      <c r="M35" s="8">
        <f t="shared" si="62"/>
        <v>2.4023083257864766</v>
      </c>
      <c r="N35" s="8"/>
      <c r="O35" s="8"/>
      <c r="P35" s="8"/>
      <c r="Q35" s="8"/>
      <c r="R35" s="8"/>
      <c r="S35" s="8"/>
      <c r="T35" s="3"/>
      <c r="U35" s="8">
        <f t="shared" ref="U35" si="63">U34/U36</f>
        <v>8.1732244897959188</v>
      </c>
      <c r="V35" s="8">
        <f t="shared" ref="V35" si="64">V34/V36</f>
        <v>9.1186827082367206</v>
      </c>
      <c r="W35" s="8">
        <f t="shared" ref="W35" si="65">W34/W36</f>
        <v>10.575448970027836</v>
      </c>
      <c r="X35" s="8">
        <f t="shared" ref="X35" si="66">X34/X36</f>
        <v>12.218440866325379</v>
      </c>
      <c r="Y35" s="8">
        <f t="shared" ref="Y35" si="67">Y34/Y36</f>
        <v>14.071779487982091</v>
      </c>
      <c r="Z35" s="8">
        <f t="shared" ref="Z35" si="68">Z34/Z36</f>
        <v>16.162942440853797</v>
      </c>
    </row>
    <row r="36" spans="1:220" s="5" customFormat="1" x14ac:dyDescent="0.25">
      <c r="A36" s="2" t="s">
        <v>2</v>
      </c>
      <c r="C36" s="2">
        <v>12764</v>
      </c>
      <c r="G36" s="2">
        <v>12495</v>
      </c>
      <c r="H36" s="2">
        <f>5843+5534+864</f>
        <v>12241</v>
      </c>
      <c r="I36" s="2">
        <v>12250</v>
      </c>
      <c r="J36" s="2">
        <v>12250</v>
      </c>
      <c r="K36" s="2">
        <v>12250</v>
      </c>
      <c r="L36" s="2">
        <v>12250</v>
      </c>
      <c r="M36" s="2">
        <v>12250</v>
      </c>
      <c r="P36" s="2"/>
      <c r="U36" s="2">
        <v>12250</v>
      </c>
      <c r="V36" s="2">
        <f>U36*1.02</f>
        <v>12495</v>
      </c>
      <c r="W36" s="2">
        <f t="shared" ref="W36:Z36" si="69">V36*1.02</f>
        <v>12744.9</v>
      </c>
      <c r="X36" s="2">
        <f t="shared" si="69"/>
        <v>12999.798000000001</v>
      </c>
      <c r="Y36" s="2">
        <f t="shared" si="69"/>
        <v>13259.793960000001</v>
      </c>
      <c r="Z36" s="2">
        <f t="shared" si="69"/>
        <v>13524.989839200001</v>
      </c>
    </row>
    <row r="37" spans="1:220" s="5" customFormat="1" x14ac:dyDescent="0.25">
      <c r="P37" s="2"/>
      <c r="U37" s="2"/>
      <c r="V37" s="2"/>
      <c r="W37" s="2"/>
      <c r="X37" s="2"/>
      <c r="Y37" s="2"/>
      <c r="Z37" s="2"/>
    </row>
    <row r="38" spans="1:220" x14ac:dyDescent="0.25">
      <c r="A38" s="5" t="s">
        <v>43</v>
      </c>
      <c r="B38" s="5"/>
      <c r="C38" s="5"/>
      <c r="D38" s="5"/>
      <c r="E38" s="5"/>
      <c r="F38" s="6">
        <f t="shared" ref="F38:M38" si="70">F22/B22-1</f>
        <v>0.15406880937710454</v>
      </c>
      <c r="G38" s="6">
        <f t="shared" si="70"/>
        <v>0.13589083695244231</v>
      </c>
      <c r="H38" s="6">
        <f t="shared" si="70"/>
        <v>0.15092642092498654</v>
      </c>
      <c r="I38" s="6">
        <f t="shared" si="70"/>
        <v>0.11770362646275045</v>
      </c>
      <c r="J38" s="6">
        <f t="shared" si="70"/>
        <v>0.13841766100895225</v>
      </c>
      <c r="K38" s="6">
        <f t="shared" si="70"/>
        <v>0.15802114653890631</v>
      </c>
      <c r="L38" s="6">
        <f t="shared" si="70"/>
        <v>0.19130734404314143</v>
      </c>
      <c r="M38" s="6">
        <f t="shared" si="70"/>
        <v>0.16940848375872064</v>
      </c>
      <c r="N38" s="6"/>
      <c r="O38" s="6"/>
      <c r="P38" s="6"/>
      <c r="Q38" s="6">
        <f t="shared" ref="Q38:Z38" si="71">Q22/P22-1</f>
        <v>0.12770532012826141</v>
      </c>
      <c r="R38" s="6">
        <f t="shared" si="71"/>
        <v>0.41150076427049154</v>
      </c>
      <c r="S38" s="6">
        <f t="shared" si="71"/>
        <v>9.7808156437157789E-2</v>
      </c>
      <c r="T38" s="6">
        <f t="shared" si="71"/>
        <v>8.6827702272695095E-2</v>
      </c>
      <c r="U38" s="6">
        <f t="shared" si="71"/>
        <v>0.13866243322901561</v>
      </c>
      <c r="V38" s="6">
        <f t="shared" si="71"/>
        <v>0.16504303111188579</v>
      </c>
      <c r="W38" s="6">
        <f t="shared" si="71"/>
        <v>0.11875127619067283</v>
      </c>
      <c r="X38" s="6">
        <f t="shared" si="71"/>
        <v>0.12051303986115847</v>
      </c>
      <c r="Y38" s="6">
        <f t="shared" si="71"/>
        <v>0.1222592095586934</v>
      </c>
      <c r="Z38" s="6">
        <f t="shared" si="71"/>
        <v>0.12399397442452242</v>
      </c>
    </row>
    <row r="39" spans="1:220" s="5" customFormat="1" x14ac:dyDescent="0.25">
      <c r="A39" s="5" t="s">
        <v>44</v>
      </c>
      <c r="C39" s="6">
        <f t="shared" ref="C39:M39" si="72">C22/B22-1</f>
        <v>6.9024316849843004E-2</v>
      </c>
      <c r="D39" s="6">
        <f t="shared" si="72"/>
        <v>2.8001179561417677E-2</v>
      </c>
      <c r="E39" s="6">
        <f t="shared" si="72"/>
        <v>0.12539605961430644</v>
      </c>
      <c r="F39" s="6">
        <f t="shared" si="72"/>
        <v>-6.6863631097207721E-2</v>
      </c>
      <c r="G39" s="6">
        <f t="shared" si="72"/>
        <v>5.218589751548941E-2</v>
      </c>
      <c r="H39" s="6">
        <f t="shared" si="72"/>
        <v>4.1608647423945655E-2</v>
      </c>
      <c r="I39" s="6">
        <f t="shared" si="72"/>
        <v>9.2910227942176071E-2</v>
      </c>
      <c r="J39" s="6">
        <f t="shared" si="72"/>
        <v>-4.9570120971503706E-2</v>
      </c>
      <c r="K39" s="6">
        <f t="shared" si="72"/>
        <v>7.0304477122279607E-2</v>
      </c>
      <c r="L39" s="6">
        <f t="shared" si="72"/>
        <v>7.1548680266953602E-2</v>
      </c>
      <c r="M39" s="6">
        <f t="shared" si="72"/>
        <v>7.2820123986388374E-2</v>
      </c>
      <c r="N39" s="6"/>
      <c r="O39" s="6"/>
      <c r="R39" s="6"/>
      <c r="S39" s="6"/>
      <c r="T39" s="6"/>
      <c r="U39" s="6"/>
      <c r="V39" s="6"/>
      <c r="W39" s="6"/>
      <c r="X39" s="6"/>
      <c r="Y39" s="6"/>
      <c r="Z39" s="6"/>
      <c r="AC39" s="6"/>
    </row>
    <row r="40" spans="1:220" x14ac:dyDescent="0.25">
      <c r="A40" s="2" t="s">
        <v>32</v>
      </c>
      <c r="B40" s="3">
        <f t="shared" ref="B40:I40" si="73">B33/B32</f>
        <v>0.17324910738808019</v>
      </c>
      <c r="C40" s="3">
        <f t="shared" si="73"/>
        <v>0.16139341642697347</v>
      </c>
      <c r="D40" s="3">
        <f t="shared" si="73"/>
        <v>7.1142142756050381E-2</v>
      </c>
      <c r="E40" s="3">
        <f t="shared" si="73"/>
        <v>0.15258889070948714</v>
      </c>
      <c r="F40" s="3">
        <f t="shared" si="73"/>
        <v>0.16432986049796927</v>
      </c>
      <c r="G40" s="3">
        <f t="shared" si="73"/>
        <v>0.14271714275343908</v>
      </c>
      <c r="H40" s="3">
        <f t="shared" si="73"/>
        <v>0.17047246577934777</v>
      </c>
      <c r="I40" s="3">
        <f t="shared" si="73"/>
        <v>0.17699965884067859</v>
      </c>
      <c r="J40" s="3">
        <v>0.19</v>
      </c>
      <c r="K40" s="3">
        <v>0.19</v>
      </c>
      <c r="L40" s="3">
        <v>0.19</v>
      </c>
      <c r="M40" s="3">
        <v>0.19</v>
      </c>
      <c r="N40" s="3"/>
      <c r="O40" s="3"/>
      <c r="P40" s="3">
        <f t="shared" ref="P40:U40" si="74">P33/P32</f>
        <v>0.13329968454258675</v>
      </c>
      <c r="Q40" s="3">
        <f t="shared" si="74"/>
        <v>0.16249324071378063</v>
      </c>
      <c r="R40" s="3">
        <f t="shared" si="74"/>
        <v>0.18676474324770689</v>
      </c>
      <c r="S40" s="3">
        <f t="shared" si="74"/>
        <v>0.15173298415328293</v>
      </c>
      <c r="T40" s="3">
        <f t="shared" si="74"/>
        <v>0.13879413716427816</v>
      </c>
      <c r="U40" s="3">
        <f t="shared" si="74"/>
        <v>0.16438962101169263</v>
      </c>
      <c r="V40" s="3">
        <v>0.19</v>
      </c>
      <c r="W40" s="3">
        <v>0.19</v>
      </c>
      <c r="X40" s="3">
        <v>0.19</v>
      </c>
      <c r="Y40" s="3">
        <v>0.19</v>
      </c>
      <c r="Z40" s="3">
        <v>0.19</v>
      </c>
    </row>
    <row r="41" spans="1:220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20" x14ac:dyDescent="0.25">
      <c r="A42" s="2" t="s">
        <v>45</v>
      </c>
      <c r="B42" s="3">
        <f t="shared" ref="B42:M42" si="75">B34/B22</f>
        <v>0.21567054035851949</v>
      </c>
      <c r="C42" s="3">
        <f t="shared" si="75"/>
        <v>0.2462066377137955</v>
      </c>
      <c r="D42" s="3">
        <f t="shared" si="75"/>
        <v>0.25672486406842865</v>
      </c>
      <c r="E42" s="3">
        <f t="shared" si="75"/>
        <v>0.23968253968253969</v>
      </c>
      <c r="F42" s="3">
        <f t="shared" si="75"/>
        <v>0.29379555246526529</v>
      </c>
      <c r="G42" s="3">
        <f t="shared" si="75"/>
        <v>0.27871657501593072</v>
      </c>
      <c r="H42" s="3">
        <f t="shared" si="75"/>
        <v>0.29796755336022113</v>
      </c>
      <c r="I42" s="3">
        <f t="shared" si="75"/>
        <v>0.27507282132083882</v>
      </c>
      <c r="J42" s="3">
        <f t="shared" si="75"/>
        <v>0.28093031529551798</v>
      </c>
      <c r="K42" s="3">
        <f t="shared" si="75"/>
        <v>0.26086199919145003</v>
      </c>
      <c r="L42" s="3">
        <f t="shared" si="75"/>
        <v>0.26086199919145009</v>
      </c>
      <c r="M42" s="3">
        <f t="shared" si="75"/>
        <v>0.26086199919145003</v>
      </c>
      <c r="N42" s="3"/>
      <c r="O42" s="3"/>
      <c r="P42" s="3">
        <f t="shared" ref="P42:Z42" si="76">P34/P22</f>
        <v>0.21218112284300339</v>
      </c>
      <c r="Q42" s="3">
        <f t="shared" si="76"/>
        <v>0.22061941520980458</v>
      </c>
      <c r="R42" s="3">
        <f t="shared" si="76"/>
        <v>0.24846198333313926</v>
      </c>
      <c r="S42" s="3">
        <f t="shared" si="76"/>
        <v>0.2244622325305124</v>
      </c>
      <c r="T42" s="3">
        <f t="shared" si="76"/>
        <v>0.24065206217427795</v>
      </c>
      <c r="U42" s="3">
        <f t="shared" si="76"/>
        <v>0.28604814609534368</v>
      </c>
      <c r="V42" s="3">
        <f t="shared" si="76"/>
        <v>0.27940618754047103</v>
      </c>
      <c r="W42" s="3">
        <f t="shared" si="76"/>
        <v>0.29544004250393158</v>
      </c>
      <c r="X42" s="3">
        <f t="shared" si="76"/>
        <v>0.31072027404654762</v>
      </c>
      <c r="Y42" s="3">
        <f t="shared" si="76"/>
        <v>0.32524439017519635</v>
      </c>
      <c r="Z42" s="3">
        <f t="shared" si="76"/>
        <v>0.33901382470626146</v>
      </c>
    </row>
    <row r="43" spans="1:220" x14ac:dyDescent="0.25">
      <c r="A43" s="5" t="s">
        <v>18</v>
      </c>
      <c r="B43" s="6">
        <f t="shared" ref="B43:I43" si="77">B24/B22</f>
        <v>0.56135096794531936</v>
      </c>
      <c r="C43" s="6">
        <f t="shared" si="77"/>
        <v>0.5721945204010509</v>
      </c>
      <c r="D43" s="6">
        <f t="shared" si="77"/>
        <v>0.56672708069836886</v>
      </c>
      <c r="E43" s="6">
        <f t="shared" si="77"/>
        <v>0.56465067778936395</v>
      </c>
      <c r="F43" s="6">
        <f t="shared" si="77"/>
        <v>0.58142018152696207</v>
      </c>
      <c r="G43" s="6">
        <f t="shared" si="77"/>
        <v>0.58099879634655782</v>
      </c>
      <c r="H43" s="6">
        <f t="shared" si="77"/>
        <v>0.58678116644763678</v>
      </c>
      <c r="I43" s="6">
        <f t="shared" si="77"/>
        <v>0.5790046543449191</v>
      </c>
      <c r="J43" s="6">
        <v>0.57999999999999996</v>
      </c>
      <c r="K43" s="6">
        <v>0.57999999999999996</v>
      </c>
      <c r="L43" s="6">
        <v>0.57999999999999996</v>
      </c>
      <c r="M43" s="6">
        <v>0.57999999999999996</v>
      </c>
      <c r="N43" s="6"/>
      <c r="O43" s="6"/>
      <c r="P43" s="6">
        <f t="shared" ref="P43:U43" si="78">P24/P22</f>
        <v>0.5558054331910266</v>
      </c>
      <c r="Q43" s="6">
        <f t="shared" si="78"/>
        <v>0.53578374706207854</v>
      </c>
      <c r="R43" s="6">
        <f t="shared" si="78"/>
        <v>0.5693980290098084</v>
      </c>
      <c r="S43" s="6">
        <f t="shared" si="78"/>
        <v>0.55379442503783116</v>
      </c>
      <c r="T43" s="6">
        <f t="shared" si="78"/>
        <v>0.56625047984020505</v>
      </c>
      <c r="U43" s="6">
        <f t="shared" si="78"/>
        <v>0.58201578204549476</v>
      </c>
      <c r="V43" s="6">
        <v>0.57999999999999996</v>
      </c>
      <c r="W43" s="6">
        <v>0.57999999999999996</v>
      </c>
      <c r="X43" s="6">
        <v>0.57999999999999996</v>
      </c>
      <c r="Y43" s="6">
        <v>0.57999999999999996</v>
      </c>
      <c r="Z43" s="6">
        <v>0.57999999999999996</v>
      </c>
    </row>
    <row r="44" spans="1:220" x14ac:dyDescent="0.25">
      <c r="A44" s="2" t="s">
        <v>19</v>
      </c>
      <c r="B44" s="3">
        <f t="shared" ref="B44:M44" si="79">B29/B22</f>
        <v>0.24954504420594092</v>
      </c>
      <c r="C44" s="3">
        <f t="shared" si="79"/>
        <v>0.29271888906761029</v>
      </c>
      <c r="D44" s="3">
        <f t="shared" si="79"/>
        <v>0.27829136948613303</v>
      </c>
      <c r="E44" s="3">
        <f t="shared" si="79"/>
        <v>0.27455683003128256</v>
      </c>
      <c r="F44" s="3">
        <f t="shared" si="79"/>
        <v>0.31626913669154072</v>
      </c>
      <c r="G44" s="3">
        <f t="shared" si="79"/>
        <v>0.32362936914398999</v>
      </c>
      <c r="H44" s="3">
        <f t="shared" si="79"/>
        <v>0.32311823084243441</v>
      </c>
      <c r="I44" s="3">
        <f t="shared" si="79"/>
        <v>0.32105650519856122</v>
      </c>
      <c r="J44" s="3">
        <f t="shared" si="79"/>
        <v>0.32205185085364202</v>
      </c>
      <c r="K44" s="3">
        <f t="shared" si="79"/>
        <v>0.32205185085364202</v>
      </c>
      <c r="L44" s="3">
        <f t="shared" si="79"/>
        <v>0.32205185085364207</v>
      </c>
      <c r="M44" s="3">
        <f t="shared" si="79"/>
        <v>0.32205185085364202</v>
      </c>
      <c r="N44" s="3"/>
      <c r="O44" s="3"/>
      <c r="P44" s="3">
        <f t="shared" ref="P44:Z44" si="80">P29/P22</f>
        <v>0.21148915400631421</v>
      </c>
      <c r="Q44" s="3">
        <f t="shared" si="80"/>
        <v>0.22585151785763202</v>
      </c>
      <c r="R44" s="3">
        <f t="shared" si="80"/>
        <v>0.3055228868524319</v>
      </c>
      <c r="S44" s="3">
        <f t="shared" si="80"/>
        <v>0.26461270842467011</v>
      </c>
      <c r="T44" s="3">
        <f t="shared" si="80"/>
        <v>0.27480367216015927</v>
      </c>
      <c r="U44" s="3">
        <f t="shared" si="80"/>
        <v>0.32110920009828064</v>
      </c>
      <c r="V44" s="3">
        <f t="shared" si="80"/>
        <v>0.32854897813117273</v>
      </c>
      <c r="W44" s="3">
        <f t="shared" si="80"/>
        <v>0.33506436679658286</v>
      </c>
      <c r="X44" s="3">
        <f t="shared" si="80"/>
        <v>0.34126908819800911</v>
      </c>
      <c r="Y44" s="3">
        <f t="shared" si="80"/>
        <v>0.34717154121849991</v>
      </c>
      <c r="Z44" s="3">
        <f t="shared" si="80"/>
        <v>0.35278065957451665</v>
      </c>
    </row>
    <row r="45" spans="1:220" x14ac:dyDescent="0.25">
      <c r="A45" s="2" t="s">
        <v>107</v>
      </c>
      <c r="B45" s="3"/>
      <c r="C45" s="3"/>
      <c r="D45" s="3"/>
      <c r="E45" s="3"/>
      <c r="F45" s="3"/>
      <c r="G45" s="3"/>
      <c r="H45" s="3"/>
      <c r="I45" s="3">
        <f>I103/I22</f>
        <v>0.25746094600337932</v>
      </c>
      <c r="J45" s="3"/>
      <c r="K45" s="3"/>
      <c r="L45" s="3"/>
      <c r="M45" s="3"/>
      <c r="N45" s="3"/>
      <c r="O45" s="3"/>
      <c r="P45" s="3">
        <f>P103/P22</f>
        <v>0</v>
      </c>
      <c r="Q45" s="3">
        <f>Q103/Q22</f>
        <v>0</v>
      </c>
      <c r="R45" s="3">
        <f t="shared" ref="R45:Z45" si="81">R103/R22</f>
        <v>0</v>
      </c>
      <c r="S45" s="3">
        <f t="shared" si="81"/>
        <v>0.21217242500954617</v>
      </c>
      <c r="T45" s="3">
        <f t="shared" si="81"/>
        <v>0.22607793255561268</v>
      </c>
      <c r="U45" s="3">
        <f t="shared" si="81"/>
        <v>0.20354381774651589</v>
      </c>
      <c r="V45" s="3">
        <f t="shared" si="81"/>
        <v>0.1579700854943456</v>
      </c>
      <c r="W45" s="3">
        <f t="shared" si="81"/>
        <v>0.20141300801310172</v>
      </c>
      <c r="X45" s="3">
        <f t="shared" si="81"/>
        <v>0.24042264936340807</v>
      </c>
      <c r="Y45" s="3">
        <f t="shared" si="81"/>
        <v>0.27553402750938583</v>
      </c>
      <c r="Z45" s="3">
        <f t="shared" si="81"/>
        <v>0.30721875337367138</v>
      </c>
    </row>
    <row r="46" spans="1:220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20" x14ac:dyDescent="0.25">
      <c r="A47" s="2" t="s">
        <v>105</v>
      </c>
      <c r="C47" s="3">
        <f t="shared" ref="C47:M47" si="82">C19/B19-1</f>
        <v>6.9785833023998878E-2</v>
      </c>
      <c r="D47" s="3">
        <f t="shared" si="82"/>
        <v>2.5661914460285207E-2</v>
      </c>
      <c r="E47" s="3">
        <f t="shared" si="82"/>
        <v>0.12245168122848815</v>
      </c>
      <c r="F47" s="3">
        <f t="shared" si="82"/>
        <v>-7.7485552541573299E-2</v>
      </c>
      <c r="G47" s="3">
        <f t="shared" si="82"/>
        <v>5.014346998494279E-2</v>
      </c>
      <c r="H47" s="3">
        <f t="shared" si="82"/>
        <v>3.4925873823179243E-2</v>
      </c>
      <c r="I47" s="3">
        <f t="shared" si="82"/>
        <v>9.9124297477453993E-2</v>
      </c>
      <c r="J47" s="3">
        <f t="shared" si="82"/>
        <v>-7.357457131305456E-2</v>
      </c>
      <c r="K47" s="3">
        <f t="shared" si="82"/>
        <v>6.2015674622581507E-2</v>
      </c>
      <c r="L47" s="3">
        <f t="shared" si="82"/>
        <v>6.3015078053849427E-2</v>
      </c>
      <c r="M47" s="3">
        <f t="shared" si="82"/>
        <v>6.4054389239795784E-2</v>
      </c>
      <c r="N47" s="3"/>
      <c r="O47" s="3"/>
      <c r="P47" s="3"/>
      <c r="Q47" s="3">
        <f t="shared" ref="Q47:Z47" si="83">Q19/P19-1</f>
        <v>0.12770532012826141</v>
      </c>
      <c r="R47" s="3">
        <f t="shared" si="83"/>
        <v>0.41150076427049154</v>
      </c>
      <c r="S47" s="3">
        <f t="shared" si="83"/>
        <v>-1.5948796174462543E-2</v>
      </c>
      <c r="T47" s="3">
        <f t="shared" si="83"/>
        <v>7.5001577735003711E-2</v>
      </c>
      <c r="U47" s="3">
        <f t="shared" si="83"/>
        <v>0.11883262457667221</v>
      </c>
      <c r="V47" s="3">
        <f t="shared" si="83"/>
        <v>0.12216850224681064</v>
      </c>
      <c r="W47" s="3">
        <f t="shared" si="83"/>
        <v>0.10388001480843156</v>
      </c>
      <c r="X47" s="3">
        <f t="shared" si="83"/>
        <v>0.10466896434707929</v>
      </c>
      <c r="Y47" s="3">
        <f t="shared" si="83"/>
        <v>0.10539802685306121</v>
      </c>
      <c r="Z47" s="3">
        <f t="shared" si="83"/>
        <v>0.10607098023462114</v>
      </c>
      <c r="AC47" s="8"/>
    </row>
    <row r="48" spans="1:220" x14ac:dyDescent="0.25">
      <c r="A48" s="2" t="s">
        <v>38</v>
      </c>
      <c r="C48" s="3">
        <f t="shared" ref="C48:M48" si="84">C20/B20-1</f>
        <v>7.7408103031929132E-2</v>
      </c>
      <c r="D48" s="3">
        <f t="shared" si="84"/>
        <v>4.731664798904256E-2</v>
      </c>
      <c r="E48" s="3">
        <f t="shared" si="84"/>
        <v>9.2854595172987775E-2</v>
      </c>
      <c r="F48" s="3">
        <f t="shared" si="84"/>
        <v>4.155787641427322E-2</v>
      </c>
      <c r="G48" s="3">
        <f t="shared" si="84"/>
        <v>8.0739502820137865E-2</v>
      </c>
      <c r="H48" s="3">
        <f t="shared" si="84"/>
        <v>9.7226249154344302E-2</v>
      </c>
      <c r="I48" s="3">
        <f t="shared" si="84"/>
        <v>5.3025631991544087E-2</v>
      </c>
      <c r="J48" s="3">
        <f t="shared" si="84"/>
        <v>0.12000000000000011</v>
      </c>
      <c r="K48" s="3">
        <f t="shared" si="84"/>
        <v>0.12000000000000011</v>
      </c>
      <c r="L48" s="3">
        <f t="shared" si="84"/>
        <v>0.12000000000000011</v>
      </c>
      <c r="M48" s="3">
        <f t="shared" si="84"/>
        <v>0.12000000000000011</v>
      </c>
      <c r="N48" s="3"/>
      <c r="O48" s="3"/>
      <c r="P48" s="3"/>
      <c r="Q48" s="3"/>
      <c r="R48" s="3"/>
      <c r="S48" s="3"/>
      <c r="T48" s="3">
        <f t="shared" ref="T48:Z48" si="85">T20/S20-1</f>
        <v>0.25905631659056327</v>
      </c>
      <c r="U48" s="3">
        <f t="shared" si="85"/>
        <v>0.30648573500967125</v>
      </c>
      <c r="V48" s="3">
        <f t="shared" si="85"/>
        <v>0.48033242010687305</v>
      </c>
      <c r="W48" s="3">
        <f t="shared" si="85"/>
        <v>0.19999999999999996</v>
      </c>
      <c r="X48" s="3">
        <f t="shared" si="85"/>
        <v>0.19999999999999996</v>
      </c>
      <c r="Y48" s="3">
        <f t="shared" si="85"/>
        <v>0.19999999999999996</v>
      </c>
      <c r="Z48" s="3">
        <f t="shared" si="85"/>
        <v>0.19999999999999996</v>
      </c>
      <c r="AC48" s="8"/>
    </row>
    <row r="49" spans="1:26" x14ac:dyDescent="0.25">
      <c r="A49" s="2" t="s">
        <v>53</v>
      </c>
      <c r="B49" s="3">
        <f t="shared" ref="B49:M49" si="86">B20/B22</f>
        <v>0.10681072406035508</v>
      </c>
      <c r="C49" s="3">
        <f t="shared" si="86"/>
        <v>0.10764838346469358</v>
      </c>
      <c r="D49" s="3">
        <f t="shared" si="86"/>
        <v>0.10967102603888229</v>
      </c>
      <c r="E49" s="3">
        <f t="shared" si="86"/>
        <v>0.10649982620785541</v>
      </c>
      <c r="F49" s="3">
        <f t="shared" si="86"/>
        <v>0.11887408584660848</v>
      </c>
      <c r="G49" s="3">
        <f t="shared" si="86"/>
        <v>0.1221000212409431</v>
      </c>
      <c r="H49" s="3">
        <f t="shared" si="86"/>
        <v>0.12861965831331854</v>
      </c>
      <c r="I49" s="3">
        <f t="shared" si="86"/>
        <v>0.12392582072997543</v>
      </c>
      <c r="J49" s="3">
        <f t="shared" si="86"/>
        <v>0.14603593834765272</v>
      </c>
      <c r="K49" s="3">
        <f t="shared" si="86"/>
        <v>0.1528165624319674</v>
      </c>
      <c r="L49" s="3">
        <f t="shared" si="86"/>
        <v>0.15972634101995625</v>
      </c>
      <c r="M49" s="3">
        <f t="shared" si="86"/>
        <v>0.16675069561299613</v>
      </c>
      <c r="P49" s="3">
        <f t="shared" ref="P49:Z49" si="87">P20/P22</f>
        <v>0</v>
      </c>
      <c r="Q49" s="3">
        <f t="shared" si="87"/>
        <v>0</v>
      </c>
      <c r="R49" s="3">
        <f t="shared" si="87"/>
        <v>0</v>
      </c>
      <c r="S49" s="3">
        <f t="shared" si="87"/>
        <v>9.2916036148156522E-2</v>
      </c>
      <c r="T49" s="3">
        <f t="shared" si="87"/>
        <v>0.10764035732642797</v>
      </c>
      <c r="U49" s="3">
        <f t="shared" si="87"/>
        <v>0.12350507688176036</v>
      </c>
      <c r="V49" s="3">
        <f t="shared" si="87"/>
        <v>0.15692859789168051</v>
      </c>
      <c r="W49" s="3">
        <f t="shared" si="87"/>
        <v>0.16832545488683004</v>
      </c>
      <c r="X49" s="3">
        <f t="shared" si="87"/>
        <v>0.18026612692452421</v>
      </c>
      <c r="Y49" s="3">
        <f t="shared" si="87"/>
        <v>0.19275346592565937</v>
      </c>
      <c r="Z49" s="3">
        <f t="shared" si="87"/>
        <v>0.20578772161943079</v>
      </c>
    </row>
    <row r="50" spans="1:26" x14ac:dyDescent="0.25">
      <c r="T50" s="3"/>
      <c r="U50" s="3"/>
      <c r="V50" s="3"/>
      <c r="W50" s="3"/>
    </row>
    <row r="51" spans="1:26" x14ac:dyDescent="0.25">
      <c r="A51" s="2" t="s">
        <v>84</v>
      </c>
      <c r="E51" s="2">
        <v>41995</v>
      </c>
      <c r="I51" s="2">
        <v>47375</v>
      </c>
      <c r="J51" s="3"/>
      <c r="S51" s="2">
        <v>134814</v>
      </c>
      <c r="T51" s="2">
        <v>146286</v>
      </c>
      <c r="U51" s="2">
        <v>170447</v>
      </c>
      <c r="V51" s="2">
        <f>U51*(1+V38)</f>
        <v>198578.0895239276</v>
      </c>
      <c r="W51" s="2">
        <f t="shared" ref="W51:Z51" si="88">V51*(1+W38)</f>
        <v>222159.49107839967</v>
      </c>
      <c r="X51" s="2">
        <f t="shared" si="88"/>
        <v>248932.60668226553</v>
      </c>
      <c r="Y51" s="2">
        <f t="shared" si="88"/>
        <v>279366.91040862445</v>
      </c>
      <c r="Z51" s="2">
        <f t="shared" si="88"/>
        <v>314006.72395288927</v>
      </c>
    </row>
    <row r="52" spans="1:26" x14ac:dyDescent="0.25">
      <c r="A52" s="2" t="s">
        <v>85</v>
      </c>
      <c r="E52" s="2">
        <v>25010</v>
      </c>
      <c r="I52" s="2">
        <v>28184</v>
      </c>
      <c r="J52" s="3"/>
      <c r="S52" s="2">
        <v>82062</v>
      </c>
      <c r="T52" s="2">
        <v>91038</v>
      </c>
      <c r="U52" s="2">
        <v>102127</v>
      </c>
      <c r="V52" s="2">
        <f>U52*(1+V38)</f>
        <v>118982.34963836356</v>
      </c>
      <c r="W52" s="2">
        <f t="shared" ref="W52:Z52" si="89">V52*(1+W38)</f>
        <v>133111.65550208409</v>
      </c>
      <c r="X52" s="2">
        <f t="shared" si="89"/>
        <v>149153.34574759155</v>
      </c>
      <c r="Y52" s="2">
        <f t="shared" si="89"/>
        <v>167388.71590172659</v>
      </c>
      <c r="Z52" s="2">
        <f t="shared" si="89"/>
        <v>188143.90806019894</v>
      </c>
    </row>
    <row r="53" spans="1:26" x14ac:dyDescent="0.25">
      <c r="A53" s="2" t="s">
        <v>86</v>
      </c>
      <c r="E53" s="2">
        <v>13979</v>
      </c>
      <c r="I53" s="2">
        <v>15156</v>
      </c>
      <c r="J53" s="3"/>
      <c r="S53" s="2">
        <v>47024</v>
      </c>
      <c r="T53" s="2">
        <v>51514</v>
      </c>
      <c r="U53" s="2">
        <v>56815</v>
      </c>
      <c r="V53" s="2">
        <f>U53*(1+V38)</f>
        <v>66191.919812621796</v>
      </c>
      <c r="W53" s="2">
        <f t="shared" ref="W53:Z53" si="90">V53*(1+W38)</f>
        <v>74052.29476388132</v>
      </c>
      <c r="X53" s="2">
        <f t="shared" si="90"/>
        <v>82976.561914571212</v>
      </c>
      <c r="Y53" s="2">
        <f t="shared" si="90"/>
        <v>93121.210786144671</v>
      </c>
      <c r="Z53" s="2">
        <f t="shared" si="90"/>
        <v>104667.67981474246</v>
      </c>
    </row>
    <row r="54" spans="1:26" x14ac:dyDescent="0.25">
      <c r="A54" s="2" t="s">
        <v>87</v>
      </c>
      <c r="E54" s="2">
        <v>5176</v>
      </c>
      <c r="I54" s="2">
        <v>5734</v>
      </c>
      <c r="J54" s="3"/>
      <c r="K54" s="3"/>
      <c r="S54" s="2">
        <v>16976</v>
      </c>
      <c r="T54" s="2">
        <v>18320</v>
      </c>
      <c r="U54" s="2">
        <v>20418</v>
      </c>
      <c r="V54" s="2">
        <f>U54*(1+V38)</f>
        <v>23787.848609242483</v>
      </c>
      <c r="W54" s="2">
        <f t="shared" ref="W54:Z54" si="91">V54*(1+W38)</f>
        <v>26612.685989420548</v>
      </c>
      <c r="X54" s="2">
        <f t="shared" si="91"/>
        <v>29819.86167687608</v>
      </c>
      <c r="Y54" s="2">
        <f t="shared" si="91"/>
        <v>33465.614394640521</v>
      </c>
      <c r="Z54" s="2">
        <f t="shared" si="91"/>
        <v>37615.148929990508</v>
      </c>
    </row>
    <row r="56" spans="1:26" x14ac:dyDescent="0.25">
      <c r="A56" s="2" t="s">
        <v>54</v>
      </c>
      <c r="B56" s="2">
        <f t="shared" ref="B56:M56" si="92">B58-B73</f>
        <v>0</v>
      </c>
      <c r="C56" s="2">
        <f t="shared" si="92"/>
        <v>0</v>
      </c>
      <c r="D56" s="2">
        <f t="shared" si="92"/>
        <v>0</v>
      </c>
      <c r="E56" s="2">
        <f t="shared" si="92"/>
        <v>0</v>
      </c>
      <c r="F56" s="2">
        <f t="shared" si="92"/>
        <v>0</v>
      </c>
      <c r="G56" s="2">
        <f t="shared" si="92"/>
        <v>0</v>
      </c>
      <c r="H56" s="2">
        <f t="shared" si="92"/>
        <v>0</v>
      </c>
      <c r="I56" s="2">
        <f t="shared" si="92"/>
        <v>84774</v>
      </c>
      <c r="J56" s="2">
        <f t="shared" si="92"/>
        <v>72414.663437106472</v>
      </c>
      <c r="K56" s="2">
        <f t="shared" si="92"/>
        <v>115013.84130789702</v>
      </c>
      <c r="L56" s="2">
        <f t="shared" si="92"/>
        <v>142444.60657126163</v>
      </c>
      <c r="M56" s="2">
        <f t="shared" si="92"/>
        <v>171872.88356214596</v>
      </c>
      <c r="P56" s="2">
        <f t="shared" ref="P56:Y56" si="93">P58-P73</f>
        <v>0</v>
      </c>
      <c r="Q56" s="2">
        <f t="shared" si="93"/>
        <v>0</v>
      </c>
      <c r="R56" s="2">
        <f t="shared" si="93"/>
        <v>0</v>
      </c>
      <c r="S56" s="2">
        <f t="shared" si="93"/>
        <v>0</v>
      </c>
      <c r="T56" s="2">
        <f t="shared" si="93"/>
        <v>99046</v>
      </c>
      <c r="U56" s="2">
        <f t="shared" si="93"/>
        <v>84774</v>
      </c>
      <c r="V56" s="2">
        <f>U56+V34</f>
        <v>198711.94043941784</v>
      </c>
      <c r="W56" s="2">
        <f>V56+W34</f>
        <v>333494.98001752561</v>
      </c>
      <c r="X56" s="2">
        <f>W56+X34</f>
        <v>492332.24315470055</v>
      </c>
      <c r="Y56" s="2">
        <f>X56+Y34</f>
        <v>678921.13981589745</v>
      </c>
      <c r="Z56" s="2">
        <f>Y56+Z34</f>
        <v>897524.7721000195</v>
      </c>
    </row>
    <row r="58" spans="1:26" x14ac:dyDescent="0.25">
      <c r="A58" s="2" t="s">
        <v>4</v>
      </c>
      <c r="I58" s="2">
        <f>23466+72191</f>
        <v>95657</v>
      </c>
      <c r="J58" s="2">
        <f>I58+J34+J100</f>
        <v>89414.663437106472</v>
      </c>
      <c r="K58" s="2">
        <f t="shared" ref="K58:M58" si="94">J58+K34+K100</f>
        <v>115013.84130789702</v>
      </c>
      <c r="L58" s="2">
        <f t="shared" si="94"/>
        <v>142444.60657126163</v>
      </c>
      <c r="M58" s="2">
        <f t="shared" si="94"/>
        <v>171872.88356214596</v>
      </c>
      <c r="T58" s="2">
        <f>24048+86868</f>
        <v>110916</v>
      </c>
      <c r="U58" s="2">
        <f>23466+72191</f>
        <v>95657</v>
      </c>
      <c r="V58" s="2">
        <f>U58+V34+V100</f>
        <v>209594.94043941784</v>
      </c>
      <c r="W58" s="2">
        <f t="shared" ref="W58" si="95">V58+W34+W100</f>
        <v>344377.98001752561</v>
      </c>
      <c r="X58" s="2">
        <f t="shared" ref="X58" si="96">W58+X34+X100</f>
        <v>503215.24315470055</v>
      </c>
      <c r="Y58" s="2">
        <f t="shared" ref="Y58:Z58" si="97">X58+Y34+Y100</f>
        <v>689804.13981589745</v>
      </c>
      <c r="Z58" s="2">
        <f t="shared" si="97"/>
        <v>908407.7721000195</v>
      </c>
    </row>
    <row r="59" spans="1:26" x14ac:dyDescent="0.25">
      <c r="A59" s="2" t="s">
        <v>46</v>
      </c>
      <c r="I59" s="2">
        <v>52340</v>
      </c>
      <c r="J59" s="2">
        <f>J80*J22/90</f>
        <v>55012.212</v>
      </c>
      <c r="K59" s="2">
        <f t="shared" ref="K59:M59" si="98">K80*K22/90</f>
        <v>58879.816800000001</v>
      </c>
      <c r="L59" s="2">
        <f t="shared" si="98"/>
        <v>63092.589986400009</v>
      </c>
      <c r="M59" s="2">
        <f t="shared" si="98"/>
        <v>67687.000211832026</v>
      </c>
      <c r="T59" s="2">
        <v>47964</v>
      </c>
      <c r="U59" s="2">
        <v>52340</v>
      </c>
      <c r="V59" s="2">
        <f>V80*V22/360</f>
        <v>61167.904749558009</v>
      </c>
      <c r="W59" s="2">
        <f t="shared" ref="W59:Z59" si="99">W80*W22/360</f>
        <v>68431.671500477532</v>
      </c>
      <c r="X59" s="2">
        <f t="shared" si="99"/>
        <v>76678.580255780282</v>
      </c>
      <c r="Y59" s="2">
        <f t="shared" si="99"/>
        <v>86053.242867934823</v>
      </c>
      <c r="Z59" s="2">
        <f t="shared" si="99"/>
        <v>96723.326463248741</v>
      </c>
    </row>
    <row r="60" spans="1:26" x14ac:dyDescent="0.25">
      <c r="A60" s="2" t="s">
        <v>63</v>
      </c>
      <c r="I60" s="2">
        <v>37982</v>
      </c>
      <c r="T60" s="2">
        <v>31008</v>
      </c>
      <c r="U60" s="2">
        <v>37982</v>
      </c>
    </row>
    <row r="61" spans="1:26" x14ac:dyDescent="0.25">
      <c r="A61" s="2" t="s">
        <v>90</v>
      </c>
      <c r="I61" s="2">
        <v>17180</v>
      </c>
      <c r="T61" s="2">
        <v>12169</v>
      </c>
      <c r="U61" s="2">
        <v>17180</v>
      </c>
    </row>
    <row r="62" spans="1:26" x14ac:dyDescent="0.25">
      <c r="A62" s="2" t="s">
        <v>50</v>
      </c>
      <c r="I62" s="2">
        <v>171036</v>
      </c>
      <c r="T62" s="2">
        <v>134345</v>
      </c>
      <c r="U62" s="2">
        <v>171036</v>
      </c>
    </row>
    <row r="63" spans="1:26" x14ac:dyDescent="0.25">
      <c r="A63" s="2" t="s">
        <v>65</v>
      </c>
      <c r="I63" s="2">
        <v>13588</v>
      </c>
      <c r="T63" s="2">
        <v>14091</v>
      </c>
      <c r="U63" s="2">
        <v>13588</v>
      </c>
    </row>
    <row r="64" spans="1:26" x14ac:dyDescent="0.25">
      <c r="A64" s="2" t="s">
        <v>66</v>
      </c>
      <c r="I64" s="2">
        <v>31885</v>
      </c>
      <c r="T64" s="2">
        <v>29198</v>
      </c>
      <c r="U64" s="2">
        <v>31885</v>
      </c>
    </row>
    <row r="65" spans="1:26" x14ac:dyDescent="0.25">
      <c r="A65" s="2" t="s">
        <v>14</v>
      </c>
      <c r="I65" s="2">
        <f>15714+14874</f>
        <v>30588</v>
      </c>
      <c r="T65" s="2">
        <f>12650+10051</f>
        <v>22701</v>
      </c>
      <c r="U65" s="2">
        <f>15714+14874</f>
        <v>30588</v>
      </c>
    </row>
    <row r="66" spans="1:26" x14ac:dyDescent="0.25">
      <c r="A66" s="2" t="s">
        <v>59</v>
      </c>
      <c r="I66" s="2">
        <f>SUM(I58:I65)</f>
        <v>450256</v>
      </c>
      <c r="T66" s="2">
        <f>SUM(T58:T65)</f>
        <v>402392</v>
      </c>
      <c r="U66" s="2">
        <f>SUM(U58:U65)</f>
        <v>450256</v>
      </c>
      <c r="V66" s="2">
        <f t="shared" ref="V66:Z66" si="100">SUM(V58:V65)</f>
        <v>270762.84518897586</v>
      </c>
      <c r="W66" s="2">
        <f t="shared" si="100"/>
        <v>412809.65151800314</v>
      </c>
      <c r="X66" s="2">
        <f t="shared" si="100"/>
        <v>579893.82341048087</v>
      </c>
      <c r="Y66" s="2">
        <f t="shared" si="100"/>
        <v>775857.38268383231</v>
      </c>
      <c r="Z66" s="2">
        <f t="shared" si="100"/>
        <v>1005131.0985632682</v>
      </c>
    </row>
    <row r="68" spans="1:26" x14ac:dyDescent="0.25">
      <c r="A68" s="2" t="s">
        <v>47</v>
      </c>
      <c r="I68" s="2">
        <v>7987</v>
      </c>
      <c r="T68" s="2">
        <v>7493</v>
      </c>
      <c r="U68" s="2">
        <v>7987</v>
      </c>
    </row>
    <row r="69" spans="1:26" x14ac:dyDescent="0.25">
      <c r="A69" s="2" t="s">
        <v>52</v>
      </c>
      <c r="I69" s="2">
        <v>15069</v>
      </c>
      <c r="T69" s="2">
        <v>15140</v>
      </c>
      <c r="U69" s="2">
        <v>15069</v>
      </c>
    </row>
    <row r="70" spans="1:26" x14ac:dyDescent="0.25">
      <c r="A70" s="2" t="s">
        <v>67</v>
      </c>
      <c r="I70" s="2">
        <v>51228</v>
      </c>
      <c r="T70" s="2">
        <v>46168</v>
      </c>
      <c r="U70" s="2">
        <v>51228</v>
      </c>
    </row>
    <row r="71" spans="1:26" x14ac:dyDescent="0.25">
      <c r="A71" s="2" t="s">
        <v>68</v>
      </c>
      <c r="I71" s="2">
        <v>9802</v>
      </c>
      <c r="T71" s="2">
        <v>8876</v>
      </c>
      <c r="U71" s="2">
        <v>9802</v>
      </c>
    </row>
    <row r="72" spans="1:26" x14ac:dyDescent="0.25">
      <c r="A72" s="2" t="s">
        <v>69</v>
      </c>
      <c r="I72" s="2">
        <v>5036</v>
      </c>
      <c r="T72" s="2">
        <v>4137</v>
      </c>
      <c r="U72" s="2">
        <v>5036</v>
      </c>
    </row>
    <row r="73" spans="1:26" x14ac:dyDescent="0.25">
      <c r="A73" s="2" t="s">
        <v>5</v>
      </c>
      <c r="I73" s="2">
        <v>10883</v>
      </c>
      <c r="J73" s="2">
        <v>17000</v>
      </c>
      <c r="T73" s="2">
        <v>11870</v>
      </c>
      <c r="U73" s="2">
        <v>10883</v>
      </c>
    </row>
    <row r="74" spans="1:26" x14ac:dyDescent="0.25">
      <c r="A74" s="2" t="s">
        <v>71</v>
      </c>
      <c r="I74" s="2">
        <v>8782</v>
      </c>
      <c r="T74" s="2">
        <v>8474</v>
      </c>
      <c r="U74" s="2">
        <v>8782</v>
      </c>
    </row>
    <row r="75" spans="1:26" x14ac:dyDescent="0.25">
      <c r="A75" s="2" t="s">
        <v>70</v>
      </c>
      <c r="I75" s="2">
        <f>11691+4694</f>
        <v>16385</v>
      </c>
      <c r="T75" s="2">
        <f>12460+4395</f>
        <v>16855</v>
      </c>
      <c r="U75" s="2">
        <f>11691+4694</f>
        <v>16385</v>
      </c>
    </row>
    <row r="76" spans="1:26" x14ac:dyDescent="0.25">
      <c r="A76" s="2" t="s">
        <v>60</v>
      </c>
      <c r="I76" s="2">
        <f>SUM(I68:I75)</f>
        <v>125172</v>
      </c>
      <c r="T76" s="2">
        <f>SUM(T68:T75)</f>
        <v>119013</v>
      </c>
      <c r="U76" s="2">
        <f>SUM(U68:U75)</f>
        <v>125172</v>
      </c>
      <c r="V76" s="2">
        <f t="shared" ref="V76:Z76" si="101">SUM(V68:V75)</f>
        <v>0</v>
      </c>
      <c r="W76" s="2">
        <f t="shared" si="101"/>
        <v>0</v>
      </c>
      <c r="X76" s="2">
        <f t="shared" si="101"/>
        <v>0</v>
      </c>
      <c r="Y76" s="2">
        <f t="shared" si="101"/>
        <v>0</v>
      </c>
      <c r="Z76" s="2">
        <f t="shared" si="101"/>
        <v>0</v>
      </c>
    </row>
    <row r="77" spans="1:26" x14ac:dyDescent="0.25">
      <c r="A77" s="2" t="s">
        <v>61</v>
      </c>
      <c r="I77" s="2">
        <f>I66-I76</f>
        <v>325084</v>
      </c>
      <c r="T77" s="2">
        <f>T66-T76</f>
        <v>283379</v>
      </c>
      <c r="U77" s="2">
        <f>U66-U76</f>
        <v>325084</v>
      </c>
      <c r="V77" s="2">
        <f t="shared" ref="V77:Z77" si="102">V66-V76</f>
        <v>270762.84518897586</v>
      </c>
      <c r="W77" s="2">
        <f t="shared" si="102"/>
        <v>412809.65151800314</v>
      </c>
      <c r="X77" s="2">
        <f t="shared" si="102"/>
        <v>579893.82341048087</v>
      </c>
      <c r="Y77" s="2">
        <f t="shared" si="102"/>
        <v>775857.38268383231</v>
      </c>
      <c r="Z77" s="2">
        <f t="shared" si="102"/>
        <v>1005131.0985632682</v>
      </c>
    </row>
    <row r="78" spans="1:26" x14ac:dyDescent="0.25">
      <c r="A78" s="2" t="s">
        <v>62</v>
      </c>
      <c r="I78" s="2">
        <f>I76+I77</f>
        <v>450256</v>
      </c>
      <c r="T78" s="2">
        <f>T76+T77</f>
        <v>402392</v>
      </c>
      <c r="U78" s="2">
        <f>U76+U77</f>
        <v>450256</v>
      </c>
      <c r="V78" s="2">
        <f t="shared" ref="V78:Z78" si="103">V76+V77</f>
        <v>270762.84518897586</v>
      </c>
      <c r="W78" s="2">
        <f t="shared" si="103"/>
        <v>412809.65151800314</v>
      </c>
      <c r="X78" s="2">
        <f t="shared" si="103"/>
        <v>579893.82341048087</v>
      </c>
      <c r="Y78" s="2">
        <f t="shared" si="103"/>
        <v>775857.38268383231</v>
      </c>
      <c r="Z78" s="2">
        <f t="shared" si="103"/>
        <v>1005131.0985632682</v>
      </c>
    </row>
    <row r="80" spans="1:26" x14ac:dyDescent="0.25">
      <c r="A80" s="2" t="s">
        <v>56</v>
      </c>
      <c r="B80" s="2">
        <f t="shared" ref="B80:I80" si="104">(B59/B22)*90</f>
        <v>0</v>
      </c>
      <c r="C80" s="2">
        <f t="shared" si="104"/>
        <v>0</v>
      </c>
      <c r="D80" s="2">
        <f t="shared" si="104"/>
        <v>0</v>
      </c>
      <c r="E80" s="2">
        <f t="shared" si="104"/>
        <v>0</v>
      </c>
      <c r="F80" s="2">
        <f t="shared" si="104"/>
        <v>0</v>
      </c>
      <c r="G80" s="2">
        <f t="shared" si="104"/>
        <v>0</v>
      </c>
      <c r="H80" s="2">
        <f t="shared" si="104"/>
        <v>0</v>
      </c>
      <c r="I80" s="2">
        <f t="shared" si="104"/>
        <v>48.830194155635489</v>
      </c>
      <c r="J80" s="2">
        <v>54</v>
      </c>
      <c r="K80" s="2">
        <v>54</v>
      </c>
      <c r="L80" s="2">
        <v>54</v>
      </c>
      <c r="M80" s="2">
        <v>54</v>
      </c>
      <c r="R80" s="2">
        <f t="shared" ref="R80:Y80" si="105">(R59/R22)*360</f>
        <v>0</v>
      </c>
      <c r="S80" s="2">
        <f t="shared" si="105"/>
        <v>0</v>
      </c>
      <c r="T80" s="2">
        <f t="shared" si="105"/>
        <v>56.172339082740713</v>
      </c>
      <c r="U80" s="2">
        <f t="shared" si="105"/>
        <v>53.832660034626791</v>
      </c>
      <c r="V80" s="2">
        <v>54</v>
      </c>
      <c r="W80" s="2">
        <v>54</v>
      </c>
      <c r="X80" s="2">
        <v>54</v>
      </c>
      <c r="Y80" s="2">
        <v>54</v>
      </c>
      <c r="Z80" s="2">
        <v>54</v>
      </c>
    </row>
    <row r="82" spans="1:29" x14ac:dyDescent="0.25">
      <c r="A82" s="2" t="s">
        <v>57</v>
      </c>
      <c r="B82" s="2">
        <f t="shared" ref="B82:M82" si="106">+B34</f>
        <v>15051</v>
      </c>
      <c r="C82" s="2">
        <f t="shared" si="106"/>
        <v>18368</v>
      </c>
      <c r="D82" s="2">
        <f t="shared" si="106"/>
        <v>19689</v>
      </c>
      <c r="E82" s="2">
        <f t="shared" si="106"/>
        <v>20687</v>
      </c>
      <c r="F82" s="2">
        <f t="shared" si="106"/>
        <v>23662</v>
      </c>
      <c r="G82" s="2">
        <f t="shared" si="106"/>
        <v>23619</v>
      </c>
      <c r="H82" s="2">
        <f t="shared" si="106"/>
        <v>26301</v>
      </c>
      <c r="I82" s="2">
        <f t="shared" si="106"/>
        <v>26536</v>
      </c>
      <c r="J82" s="2">
        <f t="shared" si="106"/>
        <v>25757.663437106465</v>
      </c>
      <c r="K82" s="2">
        <f t="shared" si="106"/>
        <v>25599.177870790547</v>
      </c>
      <c r="L82" s="2">
        <f t="shared" si="106"/>
        <v>27430.765263364614</v>
      </c>
      <c r="M82" s="2">
        <f t="shared" si="106"/>
        <v>29428.276990884337</v>
      </c>
      <c r="S82" s="2">
        <f t="shared" ref="S82:Z82" si="107">+S34</f>
        <v>63486</v>
      </c>
      <c r="T82" s="2">
        <f t="shared" si="107"/>
        <v>73975</v>
      </c>
      <c r="U82" s="2">
        <f t="shared" si="107"/>
        <v>100122</v>
      </c>
      <c r="V82" s="2">
        <f t="shared" si="107"/>
        <v>113937.94043941783</v>
      </c>
      <c r="W82" s="2">
        <f t="shared" si="107"/>
        <v>134783.03957810777</v>
      </c>
      <c r="X82" s="2">
        <f t="shared" si="107"/>
        <v>158837.26313717494</v>
      </c>
      <c r="Y82" s="2">
        <f t="shared" si="107"/>
        <v>186588.89666119684</v>
      </c>
      <c r="Z82" s="2">
        <f t="shared" si="107"/>
        <v>218603.63228412205</v>
      </c>
    </row>
    <row r="83" spans="1:29" x14ac:dyDescent="0.25">
      <c r="A83" s="2" t="s">
        <v>58</v>
      </c>
      <c r="C83" s="2">
        <v>18368</v>
      </c>
      <c r="G83" s="2">
        <v>23619</v>
      </c>
      <c r="I83" s="2">
        <v>26536</v>
      </c>
      <c r="J83" s="2">
        <f>J82</f>
        <v>25757.663437106465</v>
      </c>
      <c r="K83" s="2">
        <f t="shared" ref="K83:M83" si="108">K82</f>
        <v>25599.177870790547</v>
      </c>
      <c r="L83" s="2">
        <f t="shared" si="108"/>
        <v>27430.765263364614</v>
      </c>
      <c r="M83" s="2">
        <f t="shared" si="108"/>
        <v>29428.276990884337</v>
      </c>
      <c r="S83" s="2">
        <v>59972</v>
      </c>
      <c r="T83" s="2">
        <v>73795</v>
      </c>
      <c r="U83" s="2">
        <v>100118</v>
      </c>
      <c r="V83" s="2">
        <f>V82</f>
        <v>113937.94043941783</v>
      </c>
      <c r="W83" s="2">
        <f t="shared" ref="W83:Z83" si="109">W82</f>
        <v>134783.03957810777</v>
      </c>
      <c r="X83" s="2">
        <f t="shared" si="109"/>
        <v>158837.26313717494</v>
      </c>
      <c r="Y83" s="2">
        <f t="shared" si="109"/>
        <v>186588.89666119684</v>
      </c>
      <c r="Z83" s="2">
        <f t="shared" si="109"/>
        <v>218603.63228412205</v>
      </c>
    </row>
    <row r="84" spans="1:29" x14ac:dyDescent="0.25">
      <c r="A84" s="2" t="s">
        <v>72</v>
      </c>
      <c r="I84" s="2">
        <v>4205</v>
      </c>
      <c r="S84" s="2">
        <v>13475</v>
      </c>
      <c r="T84" s="2">
        <v>11946</v>
      </c>
      <c r="U84" s="2">
        <v>15311</v>
      </c>
      <c r="V84" s="2">
        <f>U84*1.2</f>
        <v>18373.2</v>
      </c>
      <c r="W84" s="2">
        <f t="shared" ref="W84:Z84" si="110">V84*1.2</f>
        <v>22047.84</v>
      </c>
      <c r="X84" s="2">
        <f t="shared" si="110"/>
        <v>26457.407999999999</v>
      </c>
      <c r="Y84" s="2">
        <f t="shared" si="110"/>
        <v>31748.889599999999</v>
      </c>
      <c r="Z84" s="2">
        <f t="shared" si="110"/>
        <v>38098.667519999995</v>
      </c>
    </row>
    <row r="85" spans="1:29" x14ac:dyDescent="0.25">
      <c r="A85" s="2" t="s">
        <v>73</v>
      </c>
      <c r="I85" s="2">
        <v>5810</v>
      </c>
      <c r="S85" s="2">
        <v>19362</v>
      </c>
      <c r="T85" s="2">
        <v>22460</v>
      </c>
      <c r="U85" s="2">
        <v>22785</v>
      </c>
      <c r="V85" s="2">
        <f>U85*1.05</f>
        <v>23924.25</v>
      </c>
      <c r="W85" s="2">
        <f t="shared" ref="W85:Z85" si="111">V85*1.05</f>
        <v>25120.462500000001</v>
      </c>
      <c r="X85" s="2">
        <f t="shared" si="111"/>
        <v>26376.485625000001</v>
      </c>
      <c r="Y85" s="2">
        <f t="shared" si="111"/>
        <v>27695.309906250004</v>
      </c>
      <c r="Z85" s="2">
        <f t="shared" si="111"/>
        <v>29080.075401562506</v>
      </c>
    </row>
    <row r="86" spans="1:29" x14ac:dyDescent="0.25">
      <c r="A86" s="2" t="s">
        <v>64</v>
      </c>
      <c r="I86" s="2">
        <v>-1448</v>
      </c>
      <c r="S86" s="2">
        <v>-8081</v>
      </c>
      <c r="T86" s="2">
        <v>-7763</v>
      </c>
      <c r="U86" s="2">
        <v>-5257</v>
      </c>
      <c r="V86" s="2">
        <f>U86*(1+V38)</f>
        <v>-6124.6312145551838</v>
      </c>
      <c r="W86" s="2">
        <f t="shared" ref="W86:Z86" si="112">V86*(1+W38)</f>
        <v>-6851.9389874808421</v>
      </c>
      <c r="X86" s="2">
        <f t="shared" si="112"/>
        <v>-7677.6869838053462</v>
      </c>
      <c r="Y86" s="2">
        <f t="shared" si="112"/>
        <v>-8616.3549256844562</v>
      </c>
      <c r="Z86" s="2">
        <f t="shared" si="112"/>
        <v>-9684.7310179723827</v>
      </c>
    </row>
    <row r="87" spans="1:29" x14ac:dyDescent="0.25">
      <c r="A87" s="2" t="s">
        <v>74</v>
      </c>
      <c r="I87" s="2">
        <v>67</v>
      </c>
      <c r="S87" s="2">
        <v>5519</v>
      </c>
      <c r="T87" s="2">
        <v>823</v>
      </c>
      <c r="U87" s="2">
        <v>-2671</v>
      </c>
      <c r="V87" s="2">
        <f>U87*(1+V38)</f>
        <v>-3111.8299360998471</v>
      </c>
      <c r="W87" s="2">
        <f t="shared" ref="W87:Z87" si="113">V87*(1+W38)</f>
        <v>-3481.363712300044</v>
      </c>
      <c r="X87" s="2">
        <f t="shared" si="113"/>
        <v>-3900.9134361316496</v>
      </c>
      <c r="Y87" s="2">
        <f t="shared" si="113"/>
        <v>-4377.8360293899914</v>
      </c>
      <c r="Z87" s="2">
        <f t="shared" si="113"/>
        <v>-4920.6613180529266</v>
      </c>
    </row>
    <row r="88" spans="1:29" x14ac:dyDescent="0.25">
      <c r="A88" s="2" t="s">
        <v>14</v>
      </c>
      <c r="I88" s="2">
        <v>827</v>
      </c>
      <c r="S88" s="2">
        <v>3483</v>
      </c>
      <c r="T88" s="2">
        <v>4330</v>
      </c>
      <c r="U88" s="2">
        <v>3419</v>
      </c>
      <c r="V88" s="2">
        <f>U88*(1+V38)</f>
        <v>3983.2821233715376</v>
      </c>
      <c r="W88" s="2">
        <f t="shared" ref="W88:Z88" si="114">V88*(1+W38)</f>
        <v>4456.3019589494006</v>
      </c>
      <c r="X88" s="2">
        <f t="shared" si="114"/>
        <v>4993.3444545616285</v>
      </c>
      <c r="Y88" s="2">
        <f t="shared" si="114"/>
        <v>5603.826800630618</v>
      </c>
      <c r="Z88" s="2">
        <f t="shared" si="114"/>
        <v>6298.6675576274638</v>
      </c>
    </row>
    <row r="89" spans="1:29" x14ac:dyDescent="0.25">
      <c r="A89" s="2" t="s">
        <v>46</v>
      </c>
      <c r="I89" s="2">
        <v>-4570</v>
      </c>
      <c r="S89" s="2">
        <v>-2317</v>
      </c>
      <c r="T89" s="2">
        <v>-7833</v>
      </c>
      <c r="U89" s="2">
        <v>-5891</v>
      </c>
      <c r="V89" s="2">
        <f>U89*(1+V38)</f>
        <v>-6863.2684962801195</v>
      </c>
      <c r="W89" s="2">
        <f t="shared" ref="W89:Z89" si="115">V89*(1+W38)</f>
        <v>-7678.2903890526241</v>
      </c>
      <c r="X89" s="2">
        <f t="shared" si="115"/>
        <v>-8603.6245047740722</v>
      </c>
      <c r="Y89" s="2">
        <f t="shared" si="115"/>
        <v>-9655.4968360675557</v>
      </c>
      <c r="Z89" s="2">
        <f t="shared" si="115"/>
        <v>-10852.720263814974</v>
      </c>
    </row>
    <row r="90" spans="1:29" x14ac:dyDescent="0.25">
      <c r="A90" s="2" t="s">
        <v>15</v>
      </c>
      <c r="I90" s="2">
        <v>379</v>
      </c>
      <c r="S90" s="2">
        <v>584</v>
      </c>
      <c r="T90" s="2">
        <v>523</v>
      </c>
      <c r="U90" s="2">
        <v>-2418</v>
      </c>
      <c r="V90" s="2">
        <f>U90*(1+V38)</f>
        <v>-2817.0740492285399</v>
      </c>
      <c r="W90" s="2">
        <f t="shared" ref="W90:Z90" si="116">V90*(1+W38)</f>
        <v>-3151.6051876980555</v>
      </c>
      <c r="X90" s="2">
        <f t="shared" si="116"/>
        <v>-3531.4147093097449</v>
      </c>
      <c r="Y90" s="2">
        <f t="shared" si="116"/>
        <v>-3963.1626802938972</v>
      </c>
      <c r="Z90" s="2">
        <f t="shared" si="116"/>
        <v>-4454.5709723144801</v>
      </c>
    </row>
    <row r="91" spans="1:29" x14ac:dyDescent="0.25">
      <c r="A91" s="2" t="s">
        <v>75</v>
      </c>
      <c r="I91" s="2">
        <v>937</v>
      </c>
      <c r="S91" s="2">
        <v>-5046</v>
      </c>
      <c r="T91" s="2">
        <v>-2143</v>
      </c>
      <c r="U91" s="2">
        <v>-1397</v>
      </c>
      <c r="V91" s="2">
        <f>U91*(1+V38)</f>
        <v>-1627.5651144633046</v>
      </c>
      <c r="W91" s="2">
        <f t="shared" ref="W91:Z91" si="117">V91*(1+W38)</f>
        <v>-1820.8405488892404</v>
      </c>
      <c r="X91" s="2">
        <f t="shared" si="117"/>
        <v>-2040.2755785383431</v>
      </c>
      <c r="Y91" s="2">
        <f t="shared" si="117"/>
        <v>-2289.7180580523468</v>
      </c>
      <c r="Z91" s="2">
        <f t="shared" si="117"/>
        <v>-2573.6293003818569</v>
      </c>
    </row>
    <row r="92" spans="1:29" x14ac:dyDescent="0.25">
      <c r="A92" s="2" t="s">
        <v>47</v>
      </c>
      <c r="I92" s="2">
        <v>401</v>
      </c>
      <c r="S92" s="2">
        <v>707</v>
      </c>
      <c r="T92" s="2">
        <v>664</v>
      </c>
      <c r="U92" s="2">
        <v>-1161</v>
      </c>
      <c r="V92" s="2">
        <f>U92*(1+V38)</f>
        <v>-1352.6149591208994</v>
      </c>
      <c r="W92" s="2">
        <f t="shared" ref="W92:Z92" si="118">V92*(1+W38)</f>
        <v>-1513.2397117111009</v>
      </c>
      <c r="X92" s="2">
        <f t="shared" si="118"/>
        <v>-1695.6048294080288</v>
      </c>
      <c r="Y92" s="2">
        <f t="shared" si="118"/>
        <v>-1902.9081355753576</v>
      </c>
      <c r="Z92" s="2">
        <f t="shared" si="118"/>
        <v>-2138.857278270104</v>
      </c>
    </row>
    <row r="93" spans="1:29" x14ac:dyDescent="0.25">
      <c r="A93" s="2" t="s">
        <v>76</v>
      </c>
      <c r="I93" s="2">
        <v>5205</v>
      </c>
      <c r="S93" s="2">
        <v>3915</v>
      </c>
      <c r="T93" s="2">
        <v>3937</v>
      </c>
      <c r="U93" s="2">
        <v>-1161</v>
      </c>
      <c r="V93" s="2">
        <f>U93*(1+V38)</f>
        <v>-1352.6149591208994</v>
      </c>
      <c r="W93" s="2">
        <f t="shared" ref="W93:Z93" si="119">V93*(1+W38)</f>
        <v>-1513.2397117111009</v>
      </c>
      <c r="X93" s="2">
        <f t="shared" si="119"/>
        <v>-1695.6048294080288</v>
      </c>
      <c r="Y93" s="2">
        <f t="shared" si="119"/>
        <v>-1902.9081355753576</v>
      </c>
      <c r="Z93" s="2">
        <f t="shared" si="119"/>
        <v>-2138.857278270104</v>
      </c>
    </row>
    <row r="94" spans="1:29" x14ac:dyDescent="0.25">
      <c r="A94" s="2" t="s">
        <v>77</v>
      </c>
      <c r="I94" s="2">
        <v>581</v>
      </c>
      <c r="S94" s="2">
        <v>-445</v>
      </c>
      <c r="T94" s="2">
        <v>482</v>
      </c>
      <c r="U94" s="2">
        <v>1059</v>
      </c>
      <c r="V94" s="2">
        <f>U94*(1+V38)</f>
        <v>1233.780569947487</v>
      </c>
      <c r="W94" s="2">
        <f t="shared" ref="W94:Z94" si="120">V94*(1+W38)</f>
        <v>1380.2935871680068</v>
      </c>
      <c r="X94" s="2">
        <f t="shared" si="120"/>
        <v>1546.636963258486</v>
      </c>
      <c r="Y94" s="2">
        <f t="shared" si="120"/>
        <v>1735.7275758607266</v>
      </c>
      <c r="Z94" s="2">
        <f t="shared" si="120"/>
        <v>1950.9473365099398</v>
      </c>
    </row>
    <row r="95" spans="1:29" x14ac:dyDescent="0.25">
      <c r="A95" s="2" t="s">
        <v>69</v>
      </c>
      <c r="I95" s="2">
        <v>183</v>
      </c>
      <c r="S95" s="2">
        <v>367</v>
      </c>
      <c r="T95" s="2">
        <v>525</v>
      </c>
      <c r="U95" s="2">
        <v>1043</v>
      </c>
      <c r="V95" s="2">
        <f>U95*(1+V38)</f>
        <v>1215.139881449697</v>
      </c>
      <c r="W95" s="2">
        <f t="shared" ref="W95:Z95" si="121">V95*(1+W38)</f>
        <v>1359.4392931220314</v>
      </c>
      <c r="X95" s="2">
        <f t="shared" si="121"/>
        <v>1523.2694548428717</v>
      </c>
      <c r="Y95" s="2">
        <f t="shared" si="121"/>
        <v>1709.5031743368629</v>
      </c>
      <c r="Z95" s="2">
        <f t="shared" si="121"/>
        <v>1921.4712672142277</v>
      </c>
    </row>
    <row r="96" spans="1:29" x14ac:dyDescent="0.25">
      <c r="A96" s="5" t="s">
        <v>20</v>
      </c>
      <c r="B96" s="5"/>
      <c r="C96" s="5">
        <v>28666</v>
      </c>
      <c r="D96" s="5"/>
      <c r="E96" s="5"/>
      <c r="F96" s="5"/>
      <c r="G96" s="5">
        <v>26640</v>
      </c>
      <c r="H96" s="5"/>
      <c r="I96" s="5">
        <f>SUM(I83:I95)</f>
        <v>39113</v>
      </c>
      <c r="J96" s="5"/>
      <c r="K96" s="5"/>
      <c r="L96" s="5"/>
      <c r="M96" s="5"/>
      <c r="N96" s="5"/>
      <c r="O96" s="5"/>
      <c r="P96" s="5"/>
      <c r="Q96" s="5"/>
      <c r="R96" s="5"/>
      <c r="S96" s="5">
        <f>SUM(S83:S95)</f>
        <v>91495</v>
      </c>
      <c r="T96" s="5">
        <f t="shared" ref="T96:Z96" si="122">SUM(T83:T95)</f>
        <v>101746</v>
      </c>
      <c r="U96" s="5">
        <f t="shared" si="122"/>
        <v>123779</v>
      </c>
      <c r="V96" s="5">
        <f t="shared" si="122"/>
        <v>139417.99428531778</v>
      </c>
      <c r="W96" s="5">
        <f t="shared" si="122"/>
        <v>163136.85866850417</v>
      </c>
      <c r="X96" s="5">
        <f t="shared" si="122"/>
        <v>190589.28276346272</v>
      </c>
      <c r="Y96" s="5">
        <f t="shared" si="122"/>
        <v>222373.76891763607</v>
      </c>
      <c r="Z96" s="5">
        <f t="shared" si="122"/>
        <v>259189.43393795946</v>
      </c>
      <c r="AB96" s="2" t="s">
        <v>55</v>
      </c>
      <c r="AC96" s="3">
        <v>0.06</v>
      </c>
    </row>
    <row r="97" spans="1:163" x14ac:dyDescent="0.25">
      <c r="A97" s="2" t="s">
        <v>78</v>
      </c>
      <c r="I97" s="2">
        <v>-14276</v>
      </c>
      <c r="S97" s="2">
        <v>-31485</v>
      </c>
      <c r="T97" s="2">
        <v>-32251</v>
      </c>
      <c r="U97" s="2">
        <v>-52535</v>
      </c>
      <c r="V97" s="2">
        <v>-75000</v>
      </c>
      <c r="W97" s="2">
        <f>V97*0.95</f>
        <v>-71250</v>
      </c>
      <c r="X97" s="2">
        <f t="shared" ref="X97:Z97" si="123">W97*0.95</f>
        <v>-67687.5</v>
      </c>
      <c r="Y97" s="2">
        <f t="shared" si="123"/>
        <v>-64303.125</v>
      </c>
      <c r="Z97" s="2">
        <f t="shared" si="123"/>
        <v>-61087.96875</v>
      </c>
      <c r="AB97" s="2" t="s">
        <v>29</v>
      </c>
      <c r="AC97" s="3">
        <v>0.01</v>
      </c>
    </row>
    <row r="98" spans="1:163" x14ac:dyDescent="0.25">
      <c r="A98" s="2" t="s">
        <v>79</v>
      </c>
      <c r="I98" s="2">
        <f>-21645-1800</f>
        <v>-23445</v>
      </c>
      <c r="S98" s="2">
        <f>+-78874-2531</f>
        <v>-81405</v>
      </c>
      <c r="T98" s="2">
        <f>+-77858-3027</f>
        <v>-80885</v>
      </c>
      <c r="U98" s="2">
        <f>+-86679-5034</f>
        <v>-91713</v>
      </c>
      <c r="AB98" s="2" t="s">
        <v>30</v>
      </c>
      <c r="AC98" s="9">
        <v>0.08</v>
      </c>
    </row>
    <row r="99" spans="1:163" x14ac:dyDescent="0.25">
      <c r="A99" s="2" t="s">
        <v>80</v>
      </c>
      <c r="I99" s="2">
        <f>21649+150</f>
        <v>21799</v>
      </c>
      <c r="S99" s="2">
        <f>97822+150</f>
        <v>97972</v>
      </c>
      <c r="T99" s="2">
        <f>86672+947</f>
        <v>87619</v>
      </c>
      <c r="U99" s="2">
        <f>103428+882</f>
        <v>104310</v>
      </c>
      <c r="AB99" s="2" t="s">
        <v>28</v>
      </c>
      <c r="AC99" s="2">
        <f>NPV(AC98,V103:FG103)+main!I5-main!I6</f>
        <v>2516897.9388082037</v>
      </c>
    </row>
    <row r="100" spans="1:163" x14ac:dyDescent="0.25">
      <c r="A100" s="2" t="s">
        <v>81</v>
      </c>
      <c r="I100" s="2">
        <v>-91</v>
      </c>
      <c r="J100" s="2">
        <v>-32000</v>
      </c>
      <c r="S100" s="2">
        <v>-6969</v>
      </c>
      <c r="T100" s="2">
        <v>-495</v>
      </c>
      <c r="U100" s="2">
        <v>-2931</v>
      </c>
      <c r="AB100" s="2" t="s">
        <v>1</v>
      </c>
      <c r="AC100" s="2">
        <f>AC99/main!I3</f>
        <v>205.46105622924111</v>
      </c>
    </row>
    <row r="101" spans="1:163" x14ac:dyDescent="0.25">
      <c r="A101" s="2" t="s">
        <v>82</v>
      </c>
      <c r="I101" s="2">
        <v>-167</v>
      </c>
      <c r="S101" s="2">
        <v>1589</v>
      </c>
      <c r="T101" s="2">
        <v>-1051</v>
      </c>
      <c r="U101" s="2">
        <v>-2667</v>
      </c>
      <c r="AB101" s="2" t="s">
        <v>31</v>
      </c>
      <c r="AC101" s="3">
        <f>AC100/main!I2-1</f>
        <v>0.31705805275154564</v>
      </c>
    </row>
    <row r="102" spans="1:163" x14ac:dyDescent="0.25">
      <c r="A102" s="2" t="s">
        <v>83</v>
      </c>
      <c r="C102" s="2">
        <v>10800</v>
      </c>
      <c r="G102" s="2">
        <v>13746</v>
      </c>
      <c r="I102" s="2">
        <f>I97</f>
        <v>-14276</v>
      </c>
      <c r="J102" s="2">
        <f>J97</f>
        <v>0</v>
      </c>
      <c r="S102" s="2">
        <f>S97</f>
        <v>-31485</v>
      </c>
      <c r="T102" s="2">
        <f t="shared" ref="T102:Z102" si="124">T97</f>
        <v>-32251</v>
      </c>
      <c r="U102" s="2">
        <f t="shared" si="124"/>
        <v>-52535</v>
      </c>
      <c r="V102" s="2">
        <f t="shared" si="124"/>
        <v>-75000</v>
      </c>
      <c r="W102" s="2">
        <f t="shared" si="124"/>
        <v>-71250</v>
      </c>
      <c r="X102" s="2">
        <f t="shared" si="124"/>
        <v>-67687.5</v>
      </c>
      <c r="Y102" s="2">
        <f t="shared" si="124"/>
        <v>-64303.125</v>
      </c>
      <c r="Z102" s="2">
        <f t="shared" si="124"/>
        <v>-61087.96875</v>
      </c>
    </row>
    <row r="103" spans="1:163" x14ac:dyDescent="0.25">
      <c r="A103" s="5" t="s">
        <v>21</v>
      </c>
      <c r="B103" s="5">
        <f>B96+B102</f>
        <v>0</v>
      </c>
      <c r="C103" s="5">
        <f t="shared" ref="C103:K103" si="125">C96+C102</f>
        <v>39466</v>
      </c>
      <c r="D103" s="5">
        <f t="shared" si="125"/>
        <v>0</v>
      </c>
      <c r="E103" s="5">
        <f t="shared" si="125"/>
        <v>0</v>
      </c>
      <c r="F103" s="5">
        <f t="shared" si="125"/>
        <v>0</v>
      </c>
      <c r="G103" s="5">
        <f t="shared" si="125"/>
        <v>40386</v>
      </c>
      <c r="H103" s="5">
        <f t="shared" si="125"/>
        <v>0</v>
      </c>
      <c r="I103" s="5">
        <f t="shared" si="125"/>
        <v>24837</v>
      </c>
      <c r="J103" s="5">
        <f t="shared" si="125"/>
        <v>0</v>
      </c>
      <c r="K103" s="5">
        <f t="shared" si="125"/>
        <v>0</v>
      </c>
      <c r="L103" s="5"/>
      <c r="M103" s="5"/>
      <c r="N103" s="5"/>
      <c r="O103" s="5"/>
      <c r="P103" s="5"/>
      <c r="Q103" s="5"/>
      <c r="R103" s="5"/>
      <c r="S103" s="5">
        <f>S96+S102</f>
        <v>60010</v>
      </c>
      <c r="T103" s="5">
        <f>T96+T102</f>
        <v>69495</v>
      </c>
      <c r="U103" s="5">
        <f>U96+U102</f>
        <v>71244</v>
      </c>
      <c r="V103" s="5">
        <f>V96+V102</f>
        <v>64417.994285317778</v>
      </c>
      <c r="W103" s="5">
        <f t="shared" ref="W103:Z103" si="126">W96+W102</f>
        <v>91886.858668504166</v>
      </c>
      <c r="X103" s="5">
        <f t="shared" si="126"/>
        <v>122901.78276346272</v>
      </c>
      <c r="Y103" s="5">
        <f t="shared" si="126"/>
        <v>158070.64391763607</v>
      </c>
      <c r="Z103" s="5">
        <f t="shared" si="126"/>
        <v>198101.46518795946</v>
      </c>
      <c r="AA103" s="5">
        <f t="shared" ref="AA103:BF103" si="127">Z103*(1+$AC$97)</f>
        <v>200082.47983983907</v>
      </c>
      <c r="AB103" s="5">
        <f t="shared" si="127"/>
        <v>202083.30463823746</v>
      </c>
      <c r="AC103" s="5">
        <f t="shared" si="127"/>
        <v>204104.13768461984</v>
      </c>
      <c r="AD103" s="5">
        <f t="shared" si="127"/>
        <v>206145.17906146604</v>
      </c>
      <c r="AE103" s="5">
        <f t="shared" si="127"/>
        <v>208206.63085208071</v>
      </c>
      <c r="AF103" s="5">
        <f t="shared" si="127"/>
        <v>210288.69716060153</v>
      </c>
      <c r="AG103" s="5">
        <f t="shared" si="127"/>
        <v>212391.58413220756</v>
      </c>
      <c r="AH103" s="5">
        <f t="shared" si="127"/>
        <v>214515.49997352963</v>
      </c>
      <c r="AI103" s="5">
        <f t="shared" si="127"/>
        <v>216660.65497326493</v>
      </c>
      <c r="AJ103" s="5">
        <f t="shared" si="127"/>
        <v>218827.26152299758</v>
      </c>
      <c r="AK103" s="5">
        <f t="shared" si="127"/>
        <v>221015.53413822755</v>
      </c>
      <c r="AL103" s="5">
        <f t="shared" si="127"/>
        <v>223225.68947960983</v>
      </c>
      <c r="AM103" s="5">
        <f t="shared" si="127"/>
        <v>225457.94637440593</v>
      </c>
      <c r="AN103" s="5">
        <f t="shared" si="127"/>
        <v>227712.52583815</v>
      </c>
      <c r="AO103" s="5">
        <f t="shared" si="127"/>
        <v>229989.65109653151</v>
      </c>
      <c r="AP103" s="5">
        <f t="shared" si="127"/>
        <v>232289.54760749682</v>
      </c>
      <c r="AQ103" s="5">
        <f t="shared" si="127"/>
        <v>234612.44308357179</v>
      </c>
      <c r="AR103" s="5">
        <f t="shared" si="127"/>
        <v>236958.56751440751</v>
      </c>
      <c r="AS103" s="5">
        <f t="shared" si="127"/>
        <v>239328.15318955158</v>
      </c>
      <c r="AT103" s="5">
        <f t="shared" si="127"/>
        <v>241721.43472144709</v>
      </c>
      <c r="AU103" s="5">
        <f t="shared" si="127"/>
        <v>244138.64906866156</v>
      </c>
      <c r="AV103" s="5">
        <f t="shared" si="127"/>
        <v>246580.03555934818</v>
      </c>
      <c r="AW103" s="5">
        <f t="shared" si="127"/>
        <v>249045.83591494165</v>
      </c>
      <c r="AX103" s="5">
        <f t="shared" si="127"/>
        <v>251536.29427409108</v>
      </c>
      <c r="AY103" s="5">
        <f t="shared" si="127"/>
        <v>254051.65721683198</v>
      </c>
      <c r="AZ103" s="5">
        <f t="shared" si="127"/>
        <v>256592.17378900031</v>
      </c>
      <c r="BA103" s="5">
        <f t="shared" si="127"/>
        <v>259158.09552689031</v>
      </c>
      <c r="BB103" s="5">
        <f t="shared" si="127"/>
        <v>261749.67648215921</v>
      </c>
      <c r="BC103" s="5">
        <f t="shared" si="127"/>
        <v>264367.17324698082</v>
      </c>
      <c r="BD103" s="5">
        <f t="shared" si="127"/>
        <v>267010.84497945063</v>
      </c>
      <c r="BE103" s="5">
        <f t="shared" si="127"/>
        <v>269680.95342924516</v>
      </c>
      <c r="BF103" s="5">
        <f t="shared" si="127"/>
        <v>272377.76296353759</v>
      </c>
      <c r="BG103" s="5">
        <f t="shared" ref="BG103:CL103" si="128">BF103*(1+$AC$97)</f>
        <v>275101.54059317295</v>
      </c>
      <c r="BH103" s="5">
        <f t="shared" si="128"/>
        <v>277852.55599910469</v>
      </c>
      <c r="BI103" s="5">
        <f t="shared" si="128"/>
        <v>280631.08155909576</v>
      </c>
      <c r="BJ103" s="5">
        <f t="shared" si="128"/>
        <v>283437.39237468672</v>
      </c>
      <c r="BK103" s="5">
        <f t="shared" si="128"/>
        <v>286271.76629843359</v>
      </c>
      <c r="BL103" s="5">
        <f t="shared" si="128"/>
        <v>289134.48396141792</v>
      </c>
      <c r="BM103" s="5">
        <f t="shared" si="128"/>
        <v>292025.8288010321</v>
      </c>
      <c r="BN103" s="5">
        <f t="shared" si="128"/>
        <v>294946.08708904241</v>
      </c>
      <c r="BO103" s="5">
        <f t="shared" si="128"/>
        <v>297895.54795993282</v>
      </c>
      <c r="BP103" s="5">
        <f t="shared" si="128"/>
        <v>300874.50343953213</v>
      </c>
      <c r="BQ103" s="5">
        <f t="shared" si="128"/>
        <v>303883.24847392744</v>
      </c>
      <c r="BR103" s="5">
        <f t="shared" si="128"/>
        <v>306922.08095866669</v>
      </c>
      <c r="BS103" s="5">
        <f t="shared" si="128"/>
        <v>309991.30176825338</v>
      </c>
      <c r="BT103" s="5">
        <f t="shared" si="128"/>
        <v>313091.21478593594</v>
      </c>
      <c r="BU103" s="5">
        <f t="shared" si="128"/>
        <v>316222.12693379528</v>
      </c>
      <c r="BV103" s="5">
        <f t="shared" si="128"/>
        <v>319384.34820313327</v>
      </c>
      <c r="BW103" s="5">
        <f t="shared" si="128"/>
        <v>322578.19168516458</v>
      </c>
      <c r="BX103" s="5">
        <f t="shared" si="128"/>
        <v>325803.97360201622</v>
      </c>
      <c r="BY103" s="5">
        <f t="shared" si="128"/>
        <v>329062.01333803637</v>
      </c>
      <c r="BZ103" s="5">
        <f t="shared" si="128"/>
        <v>332352.63347141672</v>
      </c>
      <c r="CA103" s="5">
        <f t="shared" si="128"/>
        <v>335676.15980613086</v>
      </c>
      <c r="CB103" s="5">
        <f t="shared" si="128"/>
        <v>339032.92140419217</v>
      </c>
      <c r="CC103" s="5">
        <f t="shared" si="128"/>
        <v>342423.2506182341</v>
      </c>
      <c r="CD103" s="5">
        <f t="shared" si="128"/>
        <v>345847.48312441644</v>
      </c>
      <c r="CE103" s="5">
        <f t="shared" si="128"/>
        <v>349305.95795566059</v>
      </c>
      <c r="CF103" s="5">
        <f t="shared" si="128"/>
        <v>352799.01753521722</v>
      </c>
      <c r="CG103" s="5">
        <f t="shared" si="128"/>
        <v>356327.00771056942</v>
      </c>
      <c r="CH103" s="5">
        <f t="shared" si="128"/>
        <v>359890.27778767509</v>
      </c>
      <c r="CI103" s="5">
        <f t="shared" si="128"/>
        <v>363489.18056555185</v>
      </c>
      <c r="CJ103" s="5">
        <f t="shared" si="128"/>
        <v>367124.07237120735</v>
      </c>
      <c r="CK103" s="5">
        <f t="shared" si="128"/>
        <v>370795.31309491943</v>
      </c>
      <c r="CL103" s="5">
        <f t="shared" si="128"/>
        <v>374503.2662258686</v>
      </c>
      <c r="CM103" s="5">
        <f t="shared" ref="CM103:DR103" si="129">CL103*(1+$AC$97)</f>
        <v>378248.29888812732</v>
      </c>
      <c r="CN103" s="5">
        <f t="shared" si="129"/>
        <v>382030.78187700862</v>
      </c>
      <c r="CO103" s="5">
        <f t="shared" si="129"/>
        <v>385851.08969577873</v>
      </c>
      <c r="CP103" s="5">
        <f t="shared" si="129"/>
        <v>389709.6005927365</v>
      </c>
      <c r="CQ103" s="5">
        <f t="shared" si="129"/>
        <v>393606.69659866387</v>
      </c>
      <c r="CR103" s="5">
        <f t="shared" si="129"/>
        <v>397542.76356465049</v>
      </c>
      <c r="CS103" s="5">
        <f t="shared" si="129"/>
        <v>401518.19120029698</v>
      </c>
      <c r="CT103" s="5">
        <f t="shared" si="129"/>
        <v>405533.37311229995</v>
      </c>
      <c r="CU103" s="5">
        <f t="shared" si="129"/>
        <v>409588.70684342296</v>
      </c>
      <c r="CV103" s="5">
        <f t="shared" si="129"/>
        <v>413684.59391185717</v>
      </c>
      <c r="CW103" s="5">
        <f t="shared" si="129"/>
        <v>417821.43985097576</v>
      </c>
      <c r="CX103" s="5">
        <f t="shared" si="129"/>
        <v>421999.65424948552</v>
      </c>
      <c r="CY103" s="5">
        <f t="shared" si="129"/>
        <v>426219.65079198038</v>
      </c>
      <c r="CZ103" s="5">
        <f t="shared" si="129"/>
        <v>430481.8472999002</v>
      </c>
      <c r="DA103" s="5">
        <f t="shared" si="129"/>
        <v>434786.66577289923</v>
      </c>
      <c r="DB103" s="5">
        <f t="shared" si="129"/>
        <v>439134.5324306282</v>
      </c>
      <c r="DC103" s="5">
        <f t="shared" si="129"/>
        <v>443525.87775493448</v>
      </c>
      <c r="DD103" s="5">
        <f t="shared" si="129"/>
        <v>447961.13653248386</v>
      </c>
      <c r="DE103" s="5">
        <f t="shared" si="129"/>
        <v>452440.74789780867</v>
      </c>
      <c r="DF103" s="5">
        <f t="shared" si="129"/>
        <v>456965.15537678677</v>
      </c>
      <c r="DG103" s="5">
        <f t="shared" si="129"/>
        <v>461534.80693055462</v>
      </c>
      <c r="DH103" s="5">
        <f t="shared" si="129"/>
        <v>466150.15499986015</v>
      </c>
      <c r="DI103" s="5">
        <f t="shared" si="129"/>
        <v>470811.65654985874</v>
      </c>
      <c r="DJ103" s="5">
        <f t="shared" si="129"/>
        <v>475519.77311535733</v>
      </c>
      <c r="DK103" s="5">
        <f t="shared" si="129"/>
        <v>480274.9708465109</v>
      </c>
      <c r="DL103" s="5">
        <f t="shared" si="129"/>
        <v>485077.72055497603</v>
      </c>
      <c r="DM103" s="5">
        <f t="shared" si="129"/>
        <v>489928.49776052579</v>
      </c>
      <c r="DN103" s="5">
        <f t="shared" si="129"/>
        <v>494827.78273813106</v>
      </c>
      <c r="DO103" s="5">
        <f t="shared" si="129"/>
        <v>499776.06056551239</v>
      </c>
      <c r="DP103" s="5">
        <f t="shared" si="129"/>
        <v>504773.82117116754</v>
      </c>
      <c r="DQ103" s="5">
        <f t="shared" si="129"/>
        <v>509821.55938287923</v>
      </c>
      <c r="DR103" s="5">
        <f t="shared" si="129"/>
        <v>514919.77497670805</v>
      </c>
      <c r="DS103" s="5">
        <f t="shared" ref="DS103:EX103" si="130">DR103*(1+$AC$97)</f>
        <v>520068.97272647516</v>
      </c>
      <c r="DT103" s="5">
        <f t="shared" si="130"/>
        <v>525269.6624537399</v>
      </c>
      <c r="DU103" s="5">
        <f t="shared" si="130"/>
        <v>530522.35907827725</v>
      </c>
      <c r="DV103" s="5">
        <f t="shared" si="130"/>
        <v>535827.58266905998</v>
      </c>
      <c r="DW103" s="5">
        <f t="shared" si="130"/>
        <v>541185.85849575058</v>
      </c>
      <c r="DX103" s="5">
        <f t="shared" si="130"/>
        <v>546597.71708070813</v>
      </c>
      <c r="DY103" s="5">
        <f t="shared" si="130"/>
        <v>552063.6942515152</v>
      </c>
      <c r="DZ103" s="5">
        <f t="shared" si="130"/>
        <v>557584.33119403035</v>
      </c>
      <c r="EA103" s="5">
        <f t="shared" si="130"/>
        <v>563160.17450597067</v>
      </c>
      <c r="EB103" s="5">
        <f t="shared" si="130"/>
        <v>568791.77625103039</v>
      </c>
      <c r="EC103" s="5">
        <f t="shared" si="130"/>
        <v>574479.69401354075</v>
      </c>
      <c r="ED103" s="5">
        <f t="shared" si="130"/>
        <v>580224.49095367617</v>
      </c>
      <c r="EE103" s="5">
        <f t="shared" si="130"/>
        <v>586026.73586321296</v>
      </c>
      <c r="EF103" s="5">
        <f t="shared" si="130"/>
        <v>591887.00322184514</v>
      </c>
      <c r="EG103" s="5">
        <f t="shared" si="130"/>
        <v>597805.87325406354</v>
      </c>
      <c r="EH103" s="5">
        <f t="shared" si="130"/>
        <v>603783.93198660424</v>
      </c>
      <c r="EI103" s="5">
        <f t="shared" si="130"/>
        <v>609821.77130647027</v>
      </c>
      <c r="EJ103" s="5">
        <f t="shared" si="130"/>
        <v>615919.98901953502</v>
      </c>
      <c r="EK103" s="5">
        <f t="shared" si="130"/>
        <v>622079.18890973041</v>
      </c>
      <c r="EL103" s="5">
        <f t="shared" si="130"/>
        <v>628299.98079882772</v>
      </c>
      <c r="EM103" s="5">
        <f t="shared" si="130"/>
        <v>634582.98060681601</v>
      </c>
      <c r="EN103" s="5">
        <f t="shared" si="130"/>
        <v>640928.81041288422</v>
      </c>
      <c r="EO103" s="5">
        <f t="shared" si="130"/>
        <v>647338.09851701302</v>
      </c>
      <c r="EP103" s="5">
        <f t="shared" si="130"/>
        <v>653811.47950218315</v>
      </c>
      <c r="EQ103" s="5">
        <f t="shared" si="130"/>
        <v>660349.59429720498</v>
      </c>
      <c r="ER103" s="5">
        <f t="shared" si="130"/>
        <v>666953.090240177</v>
      </c>
      <c r="ES103" s="5">
        <f t="shared" si="130"/>
        <v>673622.62114257878</v>
      </c>
      <c r="ET103" s="5">
        <f t="shared" si="130"/>
        <v>680358.84735400463</v>
      </c>
      <c r="EU103" s="5">
        <f t="shared" si="130"/>
        <v>687162.43582754466</v>
      </c>
      <c r="EV103" s="5">
        <f t="shared" si="130"/>
        <v>694034.0601858201</v>
      </c>
      <c r="EW103" s="5">
        <f t="shared" si="130"/>
        <v>700974.40078767831</v>
      </c>
      <c r="EX103" s="5">
        <f t="shared" si="130"/>
        <v>707984.14479555516</v>
      </c>
      <c r="EY103" s="5">
        <f t="shared" ref="EY103:FG103" si="131">EX103*(1+$AC$97)</f>
        <v>715063.98624351074</v>
      </c>
      <c r="EZ103" s="5">
        <f t="shared" si="131"/>
        <v>722214.62610594591</v>
      </c>
      <c r="FA103" s="5">
        <f t="shared" si="131"/>
        <v>729436.77236700535</v>
      </c>
      <c r="FB103" s="5">
        <f t="shared" si="131"/>
        <v>736731.14009067544</v>
      </c>
      <c r="FC103" s="5">
        <f t="shared" si="131"/>
        <v>744098.45149158221</v>
      </c>
      <c r="FD103" s="5">
        <f t="shared" si="131"/>
        <v>751539.43600649806</v>
      </c>
      <c r="FE103" s="5">
        <f t="shared" si="131"/>
        <v>759054.83036656305</v>
      </c>
      <c r="FF103" s="5">
        <f t="shared" si="131"/>
        <v>766645.37867022865</v>
      </c>
      <c r="FG103" s="5">
        <f t="shared" si="131"/>
        <v>774311.83245693089</v>
      </c>
    </row>
    <row r="104" spans="1:163" x14ac:dyDescent="0.25">
      <c r="S104" s="3">
        <f t="shared" ref="S104:Z104" si="132">S103/S96</f>
        <v>0.65588283512760259</v>
      </c>
      <c r="T104" s="3">
        <f t="shared" si="132"/>
        <v>0.6830243940793741</v>
      </c>
      <c r="U104" s="3">
        <f t="shared" si="132"/>
        <v>0.57557420887226429</v>
      </c>
      <c r="V104" s="3">
        <f t="shared" si="132"/>
        <v>0.46204935464418517</v>
      </c>
      <c r="W104" s="3">
        <f t="shared" si="132"/>
        <v>0.56325014112978133</v>
      </c>
      <c r="X104" s="3">
        <f t="shared" si="132"/>
        <v>0.64485148892655275</v>
      </c>
      <c r="Y104" s="3">
        <f t="shared" si="132"/>
        <v>0.71083313777077317</v>
      </c>
      <c r="Z104" s="3">
        <f t="shared" si="132"/>
        <v>0.76431150058137698</v>
      </c>
    </row>
    <row r="109" spans="1:163" x14ac:dyDescent="0.25">
      <c r="S109" s="3"/>
      <c r="T109" s="3"/>
      <c r="U109" s="3"/>
      <c r="V109" s="3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2025-03-30T03:52:11Z</dcterms:created>
  <dcterms:modified xsi:type="dcterms:W3CDTF">2025-04-27T01:03:41Z</dcterms:modified>
</cp:coreProperties>
</file>