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F8290A23-0368-4C62-B3A8-D83D55E519D8}" xr6:coauthVersionLast="47" xr6:coauthVersionMax="47" xr10:uidLastSave="{00000000-0000-0000-0000-000000000000}"/>
  <bookViews>
    <workbookView xWindow="810" yWindow="525" windowWidth="17745" windowHeight="14640" activeTab="1" xr2:uid="{064F155A-1D51-4B30-AF6C-CB05754649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S2" i="2" s="1"/>
  <c r="O2" i="2"/>
  <c r="O24" i="2"/>
  <c r="P24" i="2" s="1"/>
  <c r="Q24" i="2" s="1"/>
  <c r="R24" i="2" s="1"/>
  <c r="S24" i="2" s="1"/>
  <c r="P27" i="2"/>
  <c r="Q27" i="2" s="1"/>
  <c r="R27" i="2" s="1"/>
  <c r="S27" i="2" s="1"/>
  <c r="O27" i="2"/>
  <c r="O12" i="2"/>
  <c r="N20" i="2"/>
  <c r="M20" i="2"/>
  <c r="O10" i="2" l="1"/>
  <c r="O20" i="2"/>
  <c r="O3" i="2"/>
  <c r="M35" i="2"/>
  <c r="N35" i="2"/>
  <c r="O35" i="2"/>
  <c r="P35" i="2"/>
  <c r="Q35" i="2"/>
  <c r="R35" i="2"/>
  <c r="S35" i="2"/>
  <c r="L35" i="2"/>
  <c r="D35" i="2"/>
  <c r="E35" i="2"/>
  <c r="F35" i="2"/>
  <c r="G35" i="2"/>
  <c r="H35" i="2"/>
  <c r="I35" i="2"/>
  <c r="J35" i="2"/>
  <c r="C35" i="2"/>
  <c r="N31" i="2"/>
  <c r="N30" i="2"/>
  <c r="N29" i="2"/>
  <c r="I29" i="2"/>
  <c r="J29" i="2" s="1"/>
  <c r="H29" i="2"/>
  <c r="G29" i="2"/>
  <c r="G31" i="2"/>
  <c r="G30" i="2"/>
  <c r="M27" i="2"/>
  <c r="D27" i="2"/>
  <c r="E27" i="2"/>
  <c r="F27" i="2"/>
  <c r="G27" i="2"/>
  <c r="H27" i="2"/>
  <c r="I27" i="2"/>
  <c r="J27" i="2"/>
  <c r="C27" i="2"/>
  <c r="D25" i="2"/>
  <c r="E25" i="2"/>
  <c r="G25" i="2"/>
  <c r="H25" i="2"/>
  <c r="I25" i="2"/>
  <c r="J25" i="2"/>
  <c r="C25" i="2"/>
  <c r="D24" i="2"/>
  <c r="E24" i="2"/>
  <c r="F24" i="2"/>
  <c r="G24" i="2"/>
  <c r="H24" i="2"/>
  <c r="I24" i="2"/>
  <c r="J24" i="2"/>
  <c r="C24" i="2"/>
  <c r="C22" i="2"/>
  <c r="D22" i="2"/>
  <c r="E22" i="2"/>
  <c r="G22" i="2"/>
  <c r="G20" i="2"/>
  <c r="P18" i="2"/>
  <c r="Q18" i="2" s="1"/>
  <c r="R18" i="2" s="1"/>
  <c r="S18" i="2" s="1"/>
  <c r="O18" i="2"/>
  <c r="N5" i="2"/>
  <c r="N6" i="2"/>
  <c r="N10" i="2"/>
  <c r="N27" i="2" s="1"/>
  <c r="M10" i="2"/>
  <c r="M5" i="2"/>
  <c r="M6" i="2" s="1"/>
  <c r="L10" i="2"/>
  <c r="L27" i="2" s="1"/>
  <c r="L5" i="2"/>
  <c r="L6" i="2" s="1"/>
  <c r="I5" i="2"/>
  <c r="J5" i="2"/>
  <c r="I6" i="2"/>
  <c r="J6" i="2"/>
  <c r="I10" i="2"/>
  <c r="J10" i="2"/>
  <c r="I11" i="2"/>
  <c r="J11" i="2"/>
  <c r="I14" i="2"/>
  <c r="J14" i="2"/>
  <c r="I16" i="2"/>
  <c r="J16" i="2"/>
  <c r="I18" i="2"/>
  <c r="I17" i="2" s="1"/>
  <c r="J18" i="2"/>
  <c r="J17" i="2" s="1"/>
  <c r="H18" i="2"/>
  <c r="D5" i="2"/>
  <c r="D6" i="2" s="1"/>
  <c r="E5" i="2"/>
  <c r="E6" i="2" s="1"/>
  <c r="F5" i="2"/>
  <c r="F6" i="2" s="1"/>
  <c r="F11" i="2" s="1"/>
  <c r="F14" i="2" s="1"/>
  <c r="F16" i="2" s="1"/>
  <c r="F17" i="2" s="1"/>
  <c r="G5" i="2"/>
  <c r="G6" i="2" s="1"/>
  <c r="G11" i="2" s="1"/>
  <c r="G14" i="2" s="1"/>
  <c r="G16" i="2" s="1"/>
  <c r="G17" i="2" s="1"/>
  <c r="H5" i="2"/>
  <c r="H6" i="2"/>
  <c r="D10" i="2"/>
  <c r="E10" i="2"/>
  <c r="F10" i="2"/>
  <c r="G10" i="2"/>
  <c r="H10" i="2"/>
  <c r="C10" i="2"/>
  <c r="C5" i="2"/>
  <c r="C6" i="2" s="1"/>
  <c r="M1" i="2"/>
  <c r="N1" i="2" s="1"/>
  <c r="O1" i="2" s="1"/>
  <c r="P1" i="2" s="1"/>
  <c r="Q1" i="2" s="1"/>
  <c r="R1" i="2" s="1"/>
  <c r="S1" i="2" s="1"/>
  <c r="D7" i="1"/>
  <c r="D6" i="1"/>
  <c r="D5" i="1"/>
  <c r="D4" i="1"/>
  <c r="F22" i="2" l="1"/>
  <c r="F25" i="2"/>
  <c r="O4" i="2"/>
  <c r="O5" i="2" s="1"/>
  <c r="O6" i="2" s="1"/>
  <c r="O11" i="2" s="1"/>
  <c r="O13" i="2"/>
  <c r="P10" i="2"/>
  <c r="P20" i="2"/>
  <c r="P3" i="2"/>
  <c r="O14" i="2"/>
  <c r="O25" i="2"/>
  <c r="N11" i="2"/>
  <c r="N14" i="2" s="1"/>
  <c r="N16" i="2" s="1"/>
  <c r="N17" i="2" s="1"/>
  <c r="M11" i="2"/>
  <c r="M14" i="2" s="1"/>
  <c r="M16" i="2" s="1"/>
  <c r="M17" i="2" s="1"/>
  <c r="L11" i="2"/>
  <c r="L14" i="2" s="1"/>
  <c r="L16" i="2" s="1"/>
  <c r="L17" i="2" s="1"/>
  <c r="L22" i="2"/>
  <c r="L25" i="2"/>
  <c r="L24" i="2"/>
  <c r="N25" i="2"/>
  <c r="N24" i="2"/>
  <c r="M24" i="2"/>
  <c r="M25" i="2"/>
  <c r="M22" i="2"/>
  <c r="D11" i="2"/>
  <c r="D14" i="2" s="1"/>
  <c r="D16" i="2" s="1"/>
  <c r="D17" i="2" s="1"/>
  <c r="E11" i="2"/>
  <c r="E14" i="2" s="1"/>
  <c r="E16" i="2" s="1"/>
  <c r="E17" i="2" s="1"/>
  <c r="H11" i="2"/>
  <c r="H14" i="2" s="1"/>
  <c r="H16" i="2" s="1"/>
  <c r="H17" i="2" s="1"/>
  <c r="C11" i="2"/>
  <c r="C14" i="2" s="1"/>
  <c r="C16" i="2" s="1"/>
  <c r="C17" i="2" s="1"/>
  <c r="O15" i="2" l="1"/>
  <c r="O16" i="2" s="1"/>
  <c r="P13" i="2"/>
  <c r="P4" i="2"/>
  <c r="Q20" i="2"/>
  <c r="Q3" i="2"/>
  <c r="Q10" i="2"/>
  <c r="N22" i="2"/>
  <c r="O29" i="2" l="1"/>
  <c r="P12" i="2" s="1"/>
  <c r="O17" i="2"/>
  <c r="R3" i="2"/>
  <c r="R20" i="2"/>
  <c r="R10" i="2"/>
  <c r="Q4" i="2"/>
  <c r="R4" i="2" s="1"/>
  <c r="Q13" i="2"/>
  <c r="R13" i="2" s="1"/>
  <c r="P5" i="2"/>
  <c r="P6" i="2" s="1"/>
  <c r="P11" i="2" s="1"/>
  <c r="P14" i="2" s="1"/>
  <c r="P25" i="2" l="1"/>
  <c r="P15" i="2"/>
  <c r="P16" i="2" s="1"/>
  <c r="R5" i="2"/>
  <c r="R6" i="2" s="1"/>
  <c r="S20" i="2"/>
  <c r="S13" i="2" s="1"/>
  <c r="S3" i="2"/>
  <c r="S10" i="2"/>
  <c r="Q5" i="2"/>
  <c r="Q6" i="2" s="1"/>
  <c r="Q11" i="2" s="1"/>
  <c r="Q25" i="2" s="1"/>
  <c r="R11" i="2"/>
  <c r="P17" i="2" l="1"/>
  <c r="P29" i="2"/>
  <c r="Q12" i="2" s="1"/>
  <c r="Q14" i="2" s="1"/>
  <c r="Q15" i="2" s="1"/>
  <c r="Q16" i="2" s="1"/>
  <c r="S4" i="2"/>
  <c r="S5" i="2" s="1"/>
  <c r="S6" i="2" s="1"/>
  <c r="S11" i="2" s="1"/>
  <c r="R25" i="2"/>
  <c r="Q17" i="2" l="1"/>
  <c r="Q29" i="2"/>
  <c r="R12" i="2"/>
  <c r="R14" i="2" s="1"/>
  <c r="S25" i="2"/>
  <c r="R15" i="2" l="1"/>
  <c r="R16" i="2" s="1"/>
  <c r="R17" i="2" l="1"/>
  <c r="R29" i="2"/>
  <c r="S12" i="2" s="1"/>
  <c r="S14" i="2" s="1"/>
  <c r="S15" i="2" l="1"/>
  <c r="S16" i="2" s="1"/>
  <c r="S17" i="2" l="1"/>
  <c r="S29" i="2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V22" i="2" l="1"/>
  <c r="V23" i="2" s="1"/>
  <c r="V24" i="2" s="1"/>
</calcChain>
</file>

<file path=xl/sharedStrings.xml><?xml version="1.0" encoding="utf-8"?>
<sst xmlns="http://schemas.openxmlformats.org/spreadsheetml/2006/main" count="54" uniqueCount="46">
  <si>
    <t>AMD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</si>
  <si>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</si>
  <si>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</si>
  <si>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</si>
  <si>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</si>
  <si>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</si>
  <si>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</si>
  <si>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</si>
  <si>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</si>
  <si>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</si>
  <si>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</si>
  <si>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</si>
  <si>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</si>
  <si>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</si>
  <si>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</si>
  <si>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</si>
  <si>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Amort</t>
  </si>
  <si>
    <t>Total COGS</t>
  </si>
  <si>
    <t>Gross Profit</t>
  </si>
  <si>
    <t>R&amp;D</t>
  </si>
  <si>
    <t>SG&amp;A</t>
  </si>
  <si>
    <t>Operating Expenses</t>
  </si>
  <si>
    <t>Operating Income</t>
  </si>
  <si>
    <t>Interest Income</t>
  </si>
  <si>
    <t>Other Income</t>
  </si>
  <si>
    <t>Pretax Income</t>
  </si>
  <si>
    <t>Tax</t>
  </si>
  <si>
    <t>Net Income</t>
  </si>
  <si>
    <t>EPS</t>
  </si>
  <si>
    <t>Revenue y/y</t>
  </si>
  <si>
    <t>Tax Rate</t>
  </si>
  <si>
    <t>Revenue q/q</t>
  </si>
  <si>
    <t>Gross Margin</t>
  </si>
  <si>
    <t>Operating Margin</t>
  </si>
  <si>
    <t>OPEX % of R</t>
  </si>
  <si>
    <t>Net Cash</t>
  </si>
  <si>
    <t>CFFO</t>
  </si>
  <si>
    <t>CX</t>
  </si>
  <si>
    <t>FCF</t>
  </si>
  <si>
    <t>Q325</t>
  </si>
  <si>
    <t>Q425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</si>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</sst>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40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7C686E-A245-26DF-6D38-942BC0C837E0}"/>
            </a:ext>
          </a:extLst>
        </xdr:cNvPr>
        <xdr:cNvCxnSpPr/>
      </xdr:nvCxnSpPr>
      <xdr:spPr>
        <a:xfrm>
          <a:off x="4438650" y="9525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0</xdr:rowOff>
    </xdr:from>
    <xdr:to>
      <xdr:col>14</xdr:col>
      <xdr:colOff>9525</xdr:colOff>
      <xdr:row>40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DEE263-36FD-4352-B844-AB250739DF83}"/>
            </a:ext>
          </a:extLst>
        </xdr:cNvPr>
        <xdr:cNvCxnSpPr/>
      </xdr:nvCxnSpPr>
      <xdr:spPr>
        <a:xfrm>
          <a:off x="7877175" y="0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DFD7-7527-4141-98CC-4A82BA27B866}">
  <dimension ref="A1:E7"/>
  <sheetViews>
    <sheetView zoomScale="220" zoomScaleNormal="220" workbookViewId="0">
      <selection activeCell="D3" sqref="D3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116</v>
      </c>
    </row>
    <row r="3" spans="1:5" x14ac:dyDescent="0.2">
      <c r="C3" t="s">
        <v>2</v>
      </c>
      <c r="D3" s="2">
        <v>1621.404</v>
      </c>
      <c r="E3" t="s">
        <v>7</v>
      </c>
    </row>
    <row r="4" spans="1:5" x14ac:dyDescent="0.2">
      <c r="C4" t="s">
        <v>3</v>
      </c>
      <c r="D4" s="2">
        <f>D3*D2</f>
        <v>188082.864</v>
      </c>
    </row>
    <row r="5" spans="1:5" x14ac:dyDescent="0.2">
      <c r="C5" t="s">
        <v>4</v>
      </c>
      <c r="D5" s="2">
        <f>6049+1261</f>
        <v>7310</v>
      </c>
      <c r="E5" t="s">
        <v>7</v>
      </c>
    </row>
    <row r="6" spans="1:5" x14ac:dyDescent="0.2">
      <c r="C6" t="s">
        <v>5</v>
      </c>
      <c r="D6" s="2">
        <f>3217+567+343+1839</f>
        <v>5966</v>
      </c>
      <c r="E6" t="s">
        <v>7</v>
      </c>
    </row>
    <row r="7" spans="1:5" x14ac:dyDescent="0.2">
      <c r="C7" t="s">
        <v>6</v>
      </c>
      <c r="D7" s="2">
        <f>D4+D6-D5</f>
        <v>186738.864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1D86-552F-46F8-BD06-F41813E5234C}">
  <dimension ref="A1:DQ35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RowHeight="14.25" x14ac:dyDescent="0.2"/>
  <cols>
    <col min="1" max="1" width="4.25" style="2" customWidth="1"/>
    <col min="2" max="2" width="18" style="2" customWidth="1"/>
    <col min="3" max="16384" width="9" style="2"/>
  </cols>
  <sheetData>
    <row r="1" spans="1:121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39</v>
      </c>
      <c r="J1" s="2" t="s">
        <v>40</v>
      </c>
      <c r="L1" s="5">
        <v>2022</v>
      </c>
      <c r="M1" s="5">
        <f>L1+1</f>
        <v>2023</v>
      </c>
      <c r="N1" s="5">
        <f t="shared" ref="N1:S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</row>
    <row r="2" spans="1:121" s="4" customFormat="1" ht="15" x14ac:dyDescent="0.25">
      <c r="A2" s="2"/>
      <c r="B2" s="4" t="s">
        <v>9</v>
      </c>
      <c r="C2" s="4">
        <v>5473</v>
      </c>
      <c r="G2" s="4">
        <v>7438</v>
      </c>
      <c r="L2" s="4">
        <v>23601</v>
      </c>
      <c r="M2" s="4">
        <v>22680</v>
      </c>
      <c r="N2" s="4">
        <v>25785</v>
      </c>
      <c r="O2" s="4">
        <f>N2*1.34</f>
        <v>34551.9</v>
      </c>
      <c r="P2" s="4">
        <f t="shared" ref="P2:S2" si="1">O2*1.34</f>
        <v>46299.546000000002</v>
      </c>
      <c r="Q2" s="4">
        <f t="shared" si="1"/>
        <v>62041.391640000009</v>
      </c>
      <c r="R2" s="4">
        <f t="shared" si="1"/>
        <v>83135.464797600012</v>
      </c>
      <c r="S2" s="4">
        <f t="shared" si="1"/>
        <v>111401.52282878403</v>
      </c>
    </row>
    <row r="3" spans="1:121" x14ac:dyDescent="0.2">
      <c r="B3" s="2" t="s">
        <v>15</v>
      </c>
      <c r="C3" s="2">
        <v>2683</v>
      </c>
      <c r="G3" s="2">
        <v>3451</v>
      </c>
      <c r="L3" s="2">
        <v>11550</v>
      </c>
      <c r="M3" s="2">
        <v>11278</v>
      </c>
      <c r="N3" s="2">
        <v>12114</v>
      </c>
      <c r="O3" s="2">
        <f>O2*(1-O24)</f>
        <v>16988.855</v>
      </c>
      <c r="P3" s="2">
        <f t="shared" ref="P3:S3" si="2">P2*(1-P24)</f>
        <v>22059.031290999999</v>
      </c>
      <c r="Q3" s="2">
        <f t="shared" si="2"/>
        <v>28584.633238638202</v>
      </c>
      <c r="R3" s="2">
        <f t="shared" si="2"/>
        <v>36958.446852040448</v>
      </c>
      <c r="S3" s="2">
        <f t="shared" si="2"/>
        <v>47668.002660322702</v>
      </c>
    </row>
    <row r="4" spans="1:121" x14ac:dyDescent="0.2">
      <c r="B4" s="2" t="s">
        <v>16</v>
      </c>
      <c r="C4" s="2">
        <v>230</v>
      </c>
      <c r="G4" s="2">
        <v>251</v>
      </c>
      <c r="L4" s="2">
        <v>1448</v>
      </c>
      <c r="M4" s="2">
        <v>942</v>
      </c>
      <c r="N4" s="2">
        <v>946</v>
      </c>
      <c r="O4" s="2">
        <f>N4*(1+O20)</f>
        <v>1267.6400000000001</v>
      </c>
      <c r="P4" s="2">
        <f t="shared" ref="P4:S4" si="3">O4*(1+P20)</f>
        <v>1698.6376000000002</v>
      </c>
      <c r="Q4" s="2">
        <f t="shared" si="3"/>
        <v>2276.1743840000004</v>
      </c>
      <c r="R4" s="2">
        <f t="shared" si="3"/>
        <v>3050.0736745600007</v>
      </c>
      <c r="S4" s="2">
        <f t="shared" si="3"/>
        <v>4087.0987239104011</v>
      </c>
    </row>
    <row r="5" spans="1:121" x14ac:dyDescent="0.2">
      <c r="B5" s="2" t="s">
        <v>17</v>
      </c>
      <c r="C5" s="2">
        <f>SUM(C3:C4)</f>
        <v>2913</v>
      </c>
      <c r="D5" s="2">
        <f t="shared" ref="D5:H5" si="4">SUM(D3:D4)</f>
        <v>0</v>
      </c>
      <c r="E5" s="2">
        <f t="shared" si="4"/>
        <v>0</v>
      </c>
      <c r="F5" s="2">
        <f t="shared" si="4"/>
        <v>0</v>
      </c>
      <c r="G5" s="2">
        <f t="shared" si="4"/>
        <v>3702</v>
      </c>
      <c r="H5" s="2">
        <f t="shared" si="4"/>
        <v>0</v>
      </c>
      <c r="I5" s="2">
        <f t="shared" ref="I5" si="5">SUM(I3:I4)</f>
        <v>0</v>
      </c>
      <c r="J5" s="2">
        <f t="shared" ref="J5:M5" si="6">SUM(J3:J4)</f>
        <v>0</v>
      </c>
      <c r="L5" s="2">
        <f t="shared" si="6"/>
        <v>12998</v>
      </c>
      <c r="M5" s="2">
        <f t="shared" si="6"/>
        <v>12220</v>
      </c>
      <c r="N5" s="2">
        <f t="shared" ref="N5" si="7">SUM(N3:N4)</f>
        <v>13060</v>
      </c>
      <c r="O5" s="2">
        <f t="shared" ref="O5" si="8">SUM(O3:O4)</f>
        <v>18256.494999999999</v>
      </c>
      <c r="P5" s="2">
        <f t="shared" ref="P5" si="9">SUM(P3:P4)</f>
        <v>23757.668891000001</v>
      </c>
      <c r="Q5" s="2">
        <f t="shared" ref="Q5" si="10">SUM(Q3:Q4)</f>
        <v>30860.807622638204</v>
      </c>
      <c r="R5" s="2">
        <f t="shared" ref="R5" si="11">SUM(R3:R4)</f>
        <v>40008.520526600449</v>
      </c>
      <c r="S5" s="2">
        <f t="shared" ref="S5" si="12">SUM(S3:S4)</f>
        <v>51755.101384233101</v>
      </c>
    </row>
    <row r="6" spans="1:121" x14ac:dyDescent="0.2">
      <c r="B6" s="2" t="s">
        <v>18</v>
      </c>
      <c r="C6" s="2">
        <f>C2-C5</f>
        <v>2560</v>
      </c>
      <c r="D6" s="2">
        <f t="shared" ref="D6:H6" si="13">D2-D5</f>
        <v>0</v>
      </c>
      <c r="E6" s="2">
        <f t="shared" si="13"/>
        <v>0</v>
      </c>
      <c r="F6" s="2">
        <f t="shared" si="13"/>
        <v>0</v>
      </c>
      <c r="G6" s="2">
        <f t="shared" si="13"/>
        <v>3736</v>
      </c>
      <c r="H6" s="2">
        <f t="shared" si="13"/>
        <v>0</v>
      </c>
      <c r="I6" s="2">
        <f t="shared" ref="I6" si="14">I2-I5</f>
        <v>0</v>
      </c>
      <c r="J6" s="2">
        <f t="shared" ref="J6:M6" si="15">J2-J5</f>
        <v>0</v>
      </c>
      <c r="L6" s="2">
        <f t="shared" si="15"/>
        <v>10603</v>
      </c>
      <c r="M6" s="2">
        <f t="shared" si="15"/>
        <v>10460</v>
      </c>
      <c r="N6" s="2">
        <f t="shared" ref="N6" si="16">N2-N5</f>
        <v>12725</v>
      </c>
      <c r="O6" s="2">
        <f t="shared" ref="O6" si="17">O2-O5</f>
        <v>16295.405000000002</v>
      </c>
      <c r="P6" s="2">
        <f t="shared" ref="P6" si="18">P2-P5</f>
        <v>22541.877109000001</v>
      </c>
      <c r="Q6" s="2">
        <f t="shared" ref="Q6" si="19">Q2-Q5</f>
        <v>31180.584017361805</v>
      </c>
      <c r="R6" s="2">
        <f t="shared" ref="R6" si="20">R2-R5</f>
        <v>43126.944270999564</v>
      </c>
      <c r="S6" s="2">
        <f t="shared" ref="S6" si="21">S2-S5</f>
        <v>59646.421444550928</v>
      </c>
    </row>
    <row r="7" spans="1:121" x14ac:dyDescent="0.2">
      <c r="B7" s="2" t="s">
        <v>19</v>
      </c>
      <c r="C7" s="2">
        <v>1525</v>
      </c>
      <c r="G7" s="2">
        <v>1728</v>
      </c>
      <c r="L7" s="2">
        <v>5005</v>
      </c>
      <c r="M7" s="2">
        <v>5872</v>
      </c>
      <c r="N7" s="2">
        <v>6456</v>
      </c>
    </row>
    <row r="8" spans="1:121" x14ac:dyDescent="0.2">
      <c r="B8" s="2" t="s">
        <v>20</v>
      </c>
      <c r="C8" s="2">
        <v>607</v>
      </c>
      <c r="G8" s="2">
        <v>886</v>
      </c>
      <c r="L8" s="2">
        <v>2336</v>
      </c>
      <c r="M8" s="2">
        <v>2352</v>
      </c>
      <c r="N8" s="2">
        <v>2783</v>
      </c>
    </row>
    <row r="9" spans="1:121" x14ac:dyDescent="0.2">
      <c r="B9" s="2" t="s">
        <v>16</v>
      </c>
      <c r="C9" s="2">
        <v>392</v>
      </c>
      <c r="G9" s="2">
        <v>316</v>
      </c>
      <c r="L9" s="2">
        <v>2100</v>
      </c>
      <c r="M9" s="2">
        <v>1869</v>
      </c>
      <c r="N9" s="2">
        <v>1448</v>
      </c>
    </row>
    <row r="10" spans="1:121" x14ac:dyDescent="0.2">
      <c r="B10" s="2" t="s">
        <v>21</v>
      </c>
      <c r="C10" s="2">
        <f>SUM(C7:C9)</f>
        <v>2524</v>
      </c>
      <c r="D10" s="2">
        <f t="shared" ref="D10:H10" si="22">SUM(D7:D9)</f>
        <v>0</v>
      </c>
      <c r="E10" s="2">
        <f t="shared" si="22"/>
        <v>0</v>
      </c>
      <c r="F10" s="2">
        <f t="shared" si="22"/>
        <v>0</v>
      </c>
      <c r="G10" s="2">
        <f t="shared" si="22"/>
        <v>2930</v>
      </c>
      <c r="H10" s="2">
        <f t="shared" si="22"/>
        <v>0</v>
      </c>
      <c r="I10" s="2">
        <f t="shared" ref="I10" si="23">SUM(I7:I9)</f>
        <v>0</v>
      </c>
      <c r="J10" s="2">
        <f t="shared" ref="J10:M10" si="24">SUM(J7:J9)</f>
        <v>0</v>
      </c>
      <c r="L10" s="2">
        <f t="shared" si="24"/>
        <v>9441</v>
      </c>
      <c r="M10" s="2">
        <f t="shared" si="24"/>
        <v>10093</v>
      </c>
      <c r="N10" s="2">
        <f t="shared" ref="N10" si="25">SUM(N7:N9)</f>
        <v>10687</v>
      </c>
      <c r="O10" s="2">
        <f>O2*O27</f>
        <v>13604.550999999999</v>
      </c>
      <c r="P10" s="2">
        <f t="shared" ref="P10:S10" si="26">P2*P27</f>
        <v>17318.593422999998</v>
      </c>
      <c r="Q10" s="2">
        <f t="shared" si="26"/>
        <v>22046.569427478997</v>
      </c>
      <c r="R10" s="2">
        <f t="shared" si="26"/>
        <v>28065.282881180763</v>
      </c>
      <c r="S10" s="2">
        <f t="shared" si="26"/>
        <v>35727.105107743118</v>
      </c>
    </row>
    <row r="11" spans="1:121" x14ac:dyDescent="0.2">
      <c r="B11" s="2" t="s">
        <v>22</v>
      </c>
      <c r="C11" s="2">
        <f>C6-C10</f>
        <v>36</v>
      </c>
      <c r="D11" s="2">
        <f t="shared" ref="D11:H11" si="27">D6-D10</f>
        <v>0</v>
      </c>
      <c r="E11" s="2">
        <f t="shared" si="27"/>
        <v>0</v>
      </c>
      <c r="F11" s="2">
        <f t="shared" si="27"/>
        <v>0</v>
      </c>
      <c r="G11" s="2">
        <f t="shared" si="27"/>
        <v>806</v>
      </c>
      <c r="H11" s="2">
        <f t="shared" si="27"/>
        <v>0</v>
      </c>
      <c r="I11" s="2">
        <f t="shared" ref="I11" si="28">I6-I10</f>
        <v>0</v>
      </c>
      <c r="J11" s="2">
        <f t="shared" ref="J11:M11" si="29">J6-J10</f>
        <v>0</v>
      </c>
      <c r="L11" s="2">
        <f t="shared" si="29"/>
        <v>1162</v>
      </c>
      <c r="M11" s="2">
        <f t="shared" si="29"/>
        <v>367</v>
      </c>
      <c r="N11" s="2">
        <f t="shared" ref="N11" si="30">N6-N10</f>
        <v>2038</v>
      </c>
      <c r="O11" s="2">
        <f t="shared" ref="O11" si="31">O6-O10</f>
        <v>2690.854000000003</v>
      </c>
      <c r="P11" s="2">
        <f t="shared" ref="P11" si="32">P6-P10</f>
        <v>5223.2836860000025</v>
      </c>
      <c r="Q11" s="2">
        <f t="shared" ref="Q11" si="33">Q6-Q10</f>
        <v>9134.0145898828087</v>
      </c>
      <c r="R11" s="2">
        <f t="shared" ref="R11" si="34">R6-R10</f>
        <v>15061.661389818801</v>
      </c>
      <c r="S11" s="2">
        <f t="shared" ref="S11" si="35">S6-S10</f>
        <v>23919.316336807809</v>
      </c>
    </row>
    <row r="12" spans="1:121" x14ac:dyDescent="0.2">
      <c r="B12" s="2" t="s">
        <v>23</v>
      </c>
      <c r="C12" s="2">
        <v>-25</v>
      </c>
      <c r="G12" s="2">
        <v>-20</v>
      </c>
      <c r="L12" s="2">
        <v>-88</v>
      </c>
      <c r="M12" s="2">
        <v>-106</v>
      </c>
      <c r="N12" s="2">
        <v>-92</v>
      </c>
      <c r="O12" s="2">
        <f>N29*$V$19</f>
        <v>80.64</v>
      </c>
      <c r="P12" s="2">
        <f t="shared" ref="P12:S12" si="36">O29*$V$19</f>
        <v>227.12205240000011</v>
      </c>
      <c r="Q12" s="2">
        <f t="shared" si="36"/>
        <v>507.80694624624022</v>
      </c>
      <c r="R12" s="2">
        <f t="shared" si="36"/>
        <v>997.56500734851193</v>
      </c>
      <c r="S12" s="2">
        <f t="shared" si="36"/>
        <v>1806.4052264090194</v>
      </c>
    </row>
    <row r="13" spans="1:121" x14ac:dyDescent="0.2">
      <c r="B13" s="2" t="s">
        <v>24</v>
      </c>
      <c r="C13" s="2">
        <v>53</v>
      </c>
      <c r="G13" s="2">
        <v>39</v>
      </c>
      <c r="L13" s="2">
        <v>8</v>
      </c>
      <c r="M13" s="2">
        <v>197</v>
      </c>
      <c r="N13" s="2">
        <v>181</v>
      </c>
      <c r="O13" s="2">
        <f>N13*(1+O20)</f>
        <v>242.54000000000002</v>
      </c>
      <c r="P13" s="2">
        <f t="shared" ref="P13:S13" si="37">O13*(1+P20)</f>
        <v>325.00360000000006</v>
      </c>
      <c r="Q13" s="2">
        <f t="shared" si="37"/>
        <v>435.5048240000001</v>
      </c>
      <c r="R13" s="2">
        <f t="shared" si="37"/>
        <v>583.57646416000011</v>
      </c>
      <c r="S13" s="2">
        <f t="shared" si="37"/>
        <v>781.99246197440016</v>
      </c>
    </row>
    <row r="14" spans="1:121" x14ac:dyDescent="0.2">
      <c r="B14" s="2" t="s">
        <v>25</v>
      </c>
      <c r="C14" s="2">
        <f>SUM(C11:C13)</f>
        <v>64</v>
      </c>
      <c r="D14" s="2">
        <f t="shared" ref="D14:H14" si="38">SUM(D11:D13)</f>
        <v>0</v>
      </c>
      <c r="E14" s="2">
        <f t="shared" si="38"/>
        <v>0</v>
      </c>
      <c r="F14" s="2">
        <f t="shared" si="38"/>
        <v>0</v>
      </c>
      <c r="G14" s="2">
        <f t="shared" si="38"/>
        <v>825</v>
      </c>
      <c r="H14" s="2">
        <f t="shared" si="38"/>
        <v>0</v>
      </c>
      <c r="I14" s="2">
        <f t="shared" ref="I14" si="39">SUM(I11:I13)</f>
        <v>0</v>
      </c>
      <c r="J14" s="2">
        <f t="shared" ref="J14:M14" si="40">SUM(J11:J13)</f>
        <v>0</v>
      </c>
      <c r="L14" s="2">
        <f t="shared" si="40"/>
        <v>1082</v>
      </c>
      <c r="M14" s="2">
        <f t="shared" si="40"/>
        <v>458</v>
      </c>
      <c r="N14" s="2">
        <f t="shared" ref="N14" si="41">SUM(N11:N13)</f>
        <v>2127</v>
      </c>
      <c r="O14" s="2">
        <f t="shared" ref="O14" si="42">SUM(O11:O13)</f>
        <v>3014.0340000000028</v>
      </c>
      <c r="P14" s="2">
        <f t="shared" ref="P14" si="43">SUM(P11:P13)</f>
        <v>5775.4093384000025</v>
      </c>
      <c r="Q14" s="2">
        <f t="shared" ref="Q14" si="44">SUM(Q11:Q13)</f>
        <v>10077.326360129049</v>
      </c>
      <c r="R14" s="2">
        <f t="shared" ref="R14" si="45">SUM(R11:R13)</f>
        <v>16642.802861327313</v>
      </c>
      <c r="S14" s="2">
        <f t="shared" ref="S14" si="46">SUM(S11:S13)</f>
        <v>26507.714025191231</v>
      </c>
    </row>
    <row r="15" spans="1:121" x14ac:dyDescent="0.2">
      <c r="B15" s="2" t="s">
        <v>26</v>
      </c>
      <c r="C15" s="2">
        <v>-52</v>
      </c>
      <c r="G15" s="2">
        <v>123</v>
      </c>
      <c r="L15" s="2">
        <v>-122</v>
      </c>
      <c r="M15" s="2">
        <v>-346</v>
      </c>
      <c r="N15" s="2">
        <v>381</v>
      </c>
      <c r="O15" s="2">
        <f>O14*O22</f>
        <v>572.6664600000006</v>
      </c>
      <c r="P15" s="2">
        <f t="shared" ref="P15:S15" si="47">P14*P22</f>
        <v>1097.3277742960006</v>
      </c>
      <c r="Q15" s="2">
        <f t="shared" si="47"/>
        <v>1914.6920084245194</v>
      </c>
      <c r="R15" s="2">
        <f t="shared" si="47"/>
        <v>3162.1325436521893</v>
      </c>
      <c r="S15" s="2">
        <f t="shared" si="47"/>
        <v>5036.4656647863339</v>
      </c>
    </row>
    <row r="16" spans="1:121" s="4" customFormat="1" ht="15" x14ac:dyDescent="0.25">
      <c r="A16" s="2"/>
      <c r="B16" s="4" t="s">
        <v>27</v>
      </c>
      <c r="C16" s="4">
        <f>C14-C15</f>
        <v>116</v>
      </c>
      <c r="D16" s="4">
        <f t="shared" ref="D16:H16" si="48">D14-D15</f>
        <v>0</v>
      </c>
      <c r="E16" s="4">
        <f t="shared" si="48"/>
        <v>0</v>
      </c>
      <c r="F16" s="4">
        <f t="shared" si="48"/>
        <v>0</v>
      </c>
      <c r="G16" s="4">
        <f t="shared" si="48"/>
        <v>702</v>
      </c>
      <c r="H16" s="4">
        <f t="shared" si="48"/>
        <v>0</v>
      </c>
      <c r="I16" s="4">
        <f t="shared" ref="I16" si="49">I14-I15</f>
        <v>0</v>
      </c>
      <c r="J16" s="4">
        <f t="shared" ref="J16:M16" si="50">J14-J15</f>
        <v>0</v>
      </c>
      <c r="L16" s="4">
        <f t="shared" si="50"/>
        <v>1204</v>
      </c>
      <c r="M16" s="4">
        <f t="shared" si="50"/>
        <v>804</v>
      </c>
      <c r="N16" s="4">
        <f t="shared" ref="N16" si="51">N14-N15</f>
        <v>1746</v>
      </c>
      <c r="O16" s="4">
        <f t="shared" ref="O16" si="52">O14-O15</f>
        <v>2441.367540000002</v>
      </c>
      <c r="P16" s="4">
        <f t="shared" ref="P16" si="53">P14-P15</f>
        <v>4678.0815641040017</v>
      </c>
      <c r="Q16" s="4">
        <f t="shared" ref="Q16" si="54">Q14-Q15</f>
        <v>8162.6343517045298</v>
      </c>
      <c r="R16" s="4">
        <f t="shared" ref="R16" si="55">R14-R15</f>
        <v>13480.670317675123</v>
      </c>
      <c r="S16" s="4">
        <f t="shared" ref="S16" si="56">S14-S15</f>
        <v>21471.248360404898</v>
      </c>
      <c r="T16" s="4">
        <f t="shared" ref="T16:AY16" si="57">S16*(1+$V$20)</f>
        <v>22115.385811217046</v>
      </c>
      <c r="U16" s="4">
        <f t="shared" si="57"/>
        <v>22778.847385553556</v>
      </c>
      <c r="V16" s="4">
        <f t="shared" si="57"/>
        <v>23462.212807120162</v>
      </c>
      <c r="W16" s="4">
        <f t="shared" si="57"/>
        <v>24166.079191333767</v>
      </c>
      <c r="X16" s="4">
        <f t="shared" si="57"/>
        <v>24891.061567073782</v>
      </c>
      <c r="Y16" s="4">
        <f t="shared" si="57"/>
        <v>25637.793414085998</v>
      </c>
      <c r="Z16" s="4">
        <f t="shared" si="57"/>
        <v>26406.927216508579</v>
      </c>
      <c r="AA16" s="4">
        <f t="shared" si="57"/>
        <v>27199.135033003837</v>
      </c>
      <c r="AB16" s="4">
        <f t="shared" si="57"/>
        <v>28015.109083993953</v>
      </c>
      <c r="AC16" s="4">
        <f t="shared" si="57"/>
        <v>28855.562356513772</v>
      </c>
      <c r="AD16" s="4">
        <f t="shared" si="57"/>
        <v>29721.229227209187</v>
      </c>
      <c r="AE16" s="4">
        <f t="shared" si="57"/>
        <v>30612.866104025463</v>
      </c>
      <c r="AF16" s="4">
        <f t="shared" si="57"/>
        <v>31531.252087146229</v>
      </c>
      <c r="AG16" s="4">
        <f t="shared" si="57"/>
        <v>32477.189649760618</v>
      </c>
      <c r="AH16" s="4">
        <f t="shared" si="57"/>
        <v>33451.505339253439</v>
      </c>
      <c r="AI16" s="4">
        <f t="shared" si="57"/>
        <v>34455.050499431047</v>
      </c>
      <c r="AJ16" s="4">
        <f t="shared" si="57"/>
        <v>35488.702014413982</v>
      </c>
      <c r="AK16" s="4">
        <f t="shared" si="57"/>
        <v>36553.363074846406</v>
      </c>
      <c r="AL16" s="4">
        <f t="shared" si="57"/>
        <v>37649.963967091797</v>
      </c>
      <c r="AM16" s="4">
        <f t="shared" si="57"/>
        <v>38779.462886104549</v>
      </c>
      <c r="AN16" s="4">
        <f t="shared" si="57"/>
        <v>39942.846772687684</v>
      </c>
      <c r="AO16" s="4">
        <f t="shared" si="57"/>
        <v>41141.132175868319</v>
      </c>
      <c r="AP16" s="4">
        <f t="shared" si="57"/>
        <v>42375.366141144368</v>
      </c>
      <c r="AQ16" s="4">
        <f t="shared" si="57"/>
        <v>43646.627125378698</v>
      </c>
      <c r="AR16" s="4">
        <f t="shared" si="57"/>
        <v>44956.025939140061</v>
      </c>
      <c r="AS16" s="4">
        <f t="shared" si="57"/>
        <v>46304.706717314264</v>
      </c>
      <c r="AT16" s="4">
        <f t="shared" si="57"/>
        <v>47693.847918833693</v>
      </c>
      <c r="AU16" s="4">
        <f t="shared" si="57"/>
        <v>49124.663356398705</v>
      </c>
      <c r="AV16" s="4">
        <f t="shared" si="57"/>
        <v>50598.403257090671</v>
      </c>
      <c r="AW16" s="4">
        <f t="shared" si="57"/>
        <v>52116.355354803396</v>
      </c>
      <c r="AX16" s="4">
        <f t="shared" si="57"/>
        <v>53679.846015447496</v>
      </c>
      <c r="AY16" s="4">
        <f t="shared" si="57"/>
        <v>55290.241395910925</v>
      </c>
      <c r="AZ16" s="4">
        <f t="shared" ref="AZ16:CE16" si="58">AY16*(1+$V$20)</f>
        <v>56948.948637788257</v>
      </c>
      <c r="BA16" s="4">
        <f t="shared" si="58"/>
        <v>58657.417096921905</v>
      </c>
      <c r="BB16" s="4">
        <f t="shared" si="58"/>
        <v>60417.139609829566</v>
      </c>
      <c r="BC16" s="4">
        <f t="shared" si="58"/>
        <v>62229.653798124455</v>
      </c>
      <c r="BD16" s="4">
        <f t="shared" si="58"/>
        <v>64096.543412068189</v>
      </c>
      <c r="BE16" s="4">
        <f t="shared" si="58"/>
        <v>66019.439714430235</v>
      </c>
      <c r="BF16" s="4">
        <f t="shared" si="58"/>
        <v>68000.022905863138</v>
      </c>
      <c r="BG16" s="4">
        <f t="shared" si="58"/>
        <v>70040.023593039034</v>
      </c>
      <c r="BH16" s="4">
        <f t="shared" si="58"/>
        <v>72141.224300830203</v>
      </c>
      <c r="BI16" s="4">
        <f t="shared" si="58"/>
        <v>74305.461029855112</v>
      </c>
      <c r="BJ16" s="4">
        <f t="shared" si="58"/>
        <v>76534.624860750773</v>
      </c>
      <c r="BK16" s="4">
        <f t="shared" si="58"/>
        <v>78830.663606573304</v>
      </c>
      <c r="BL16" s="4">
        <f t="shared" si="58"/>
        <v>81195.583514770507</v>
      </c>
      <c r="BM16" s="4">
        <f t="shared" si="58"/>
        <v>83631.45102021363</v>
      </c>
      <c r="BN16" s="4">
        <f t="shared" si="58"/>
        <v>86140.394550820041</v>
      </c>
      <c r="BO16" s="4">
        <f t="shared" si="58"/>
        <v>88724.60638734464</v>
      </c>
      <c r="BP16" s="4">
        <f t="shared" si="58"/>
        <v>91386.344578964985</v>
      </c>
      <c r="BQ16" s="4">
        <f t="shared" si="58"/>
        <v>94127.934916333936</v>
      </c>
      <c r="BR16" s="4">
        <f t="shared" si="58"/>
        <v>96951.772963823954</v>
      </c>
      <c r="BS16" s="4">
        <f t="shared" si="58"/>
        <v>99860.326152738679</v>
      </c>
      <c r="BT16" s="4">
        <f t="shared" si="58"/>
        <v>102856.13593732084</v>
      </c>
      <c r="BU16" s="4">
        <f t="shared" si="58"/>
        <v>105941.82001544046</v>
      </c>
      <c r="BV16" s="4">
        <f t="shared" si="58"/>
        <v>109120.07461590368</v>
      </c>
      <c r="BW16" s="4">
        <f t="shared" si="58"/>
        <v>112393.6768543808</v>
      </c>
      <c r="BX16" s="4">
        <f t="shared" si="58"/>
        <v>115765.48716001223</v>
      </c>
      <c r="BY16" s="4">
        <f t="shared" si="58"/>
        <v>119238.45177481259</v>
      </c>
      <c r="BZ16" s="4">
        <f t="shared" si="58"/>
        <v>122815.60532805698</v>
      </c>
      <c r="CA16" s="4">
        <f t="shared" si="58"/>
        <v>126500.07348789868</v>
      </c>
      <c r="CB16" s="4">
        <f t="shared" si="58"/>
        <v>130295.07569253565</v>
      </c>
      <c r="CC16" s="4">
        <f t="shared" si="58"/>
        <v>134203.92796331173</v>
      </c>
      <c r="CD16" s="4">
        <f t="shared" si="58"/>
        <v>138230.04580221107</v>
      </c>
      <c r="CE16" s="4">
        <f t="shared" si="58"/>
        <v>142376.9471762774</v>
      </c>
      <c r="CF16" s="4">
        <f t="shared" ref="CF16:DK16" si="59">CE16*(1+$V$20)</f>
        <v>146648.25559156574</v>
      </c>
      <c r="CG16" s="4">
        <f t="shared" si="59"/>
        <v>151047.70325931272</v>
      </c>
      <c r="CH16" s="4">
        <f t="shared" si="59"/>
        <v>155579.13435709212</v>
      </c>
      <c r="CI16" s="4">
        <f t="shared" si="59"/>
        <v>160246.50838780488</v>
      </c>
      <c r="CJ16" s="4">
        <f t="shared" si="59"/>
        <v>165053.90363943903</v>
      </c>
      <c r="CK16" s="4">
        <f t="shared" si="59"/>
        <v>170005.52074862219</v>
      </c>
      <c r="CL16" s="4">
        <f t="shared" si="59"/>
        <v>175105.68637108087</v>
      </c>
      <c r="CM16" s="4">
        <f t="shared" si="59"/>
        <v>180358.85696221329</v>
      </c>
      <c r="CN16" s="4">
        <f t="shared" si="59"/>
        <v>185769.62267107971</v>
      </c>
      <c r="CO16" s="4">
        <f t="shared" si="59"/>
        <v>191342.71135121211</v>
      </c>
      <c r="CP16" s="4">
        <f t="shared" si="59"/>
        <v>197082.99269174848</v>
      </c>
      <c r="CQ16" s="4">
        <f t="shared" si="59"/>
        <v>202995.48247250094</v>
      </c>
      <c r="CR16" s="4">
        <f t="shared" si="59"/>
        <v>209085.34694667597</v>
      </c>
      <c r="CS16" s="4">
        <f t="shared" si="59"/>
        <v>215357.90735507626</v>
      </c>
      <c r="CT16" s="4">
        <f t="shared" si="59"/>
        <v>221818.64457572854</v>
      </c>
      <c r="CU16" s="4">
        <f t="shared" si="59"/>
        <v>228473.20391300041</v>
      </c>
      <c r="CV16" s="4">
        <f t="shared" si="59"/>
        <v>235327.40003039042</v>
      </c>
      <c r="CW16" s="4">
        <f t="shared" si="59"/>
        <v>242387.22203130214</v>
      </c>
      <c r="CX16" s="4">
        <f t="shared" si="59"/>
        <v>249658.8386922412</v>
      </c>
      <c r="CY16" s="4">
        <f t="shared" si="59"/>
        <v>257148.60385300845</v>
      </c>
      <c r="CZ16" s="4">
        <f t="shared" si="59"/>
        <v>264863.06196859869</v>
      </c>
      <c r="DA16" s="4">
        <f t="shared" si="59"/>
        <v>272808.95382765663</v>
      </c>
      <c r="DB16" s="4">
        <f t="shared" si="59"/>
        <v>280993.22244248632</v>
      </c>
      <c r="DC16" s="4">
        <f t="shared" si="59"/>
        <v>289423.01911576092</v>
      </c>
      <c r="DD16" s="4">
        <f t="shared" si="59"/>
        <v>298105.70968923374</v>
      </c>
      <c r="DE16" s="4">
        <f t="shared" si="59"/>
        <v>307048.88097991078</v>
      </c>
      <c r="DF16" s="4">
        <f t="shared" si="59"/>
        <v>316260.34740930813</v>
      </c>
      <c r="DG16" s="4">
        <f t="shared" si="59"/>
        <v>325748.15783158736</v>
      </c>
      <c r="DH16" s="4">
        <f t="shared" si="59"/>
        <v>335520.602566535</v>
      </c>
      <c r="DI16" s="4">
        <f t="shared" si="59"/>
        <v>345586.22064353107</v>
      </c>
      <c r="DJ16" s="4">
        <f t="shared" si="59"/>
        <v>355953.80726283701</v>
      </c>
      <c r="DK16" s="4">
        <f t="shared" si="59"/>
        <v>366632.42148072214</v>
      </c>
      <c r="DL16" s="4">
        <f t="shared" ref="DL16:DQ16" si="60">DK16*(1+$V$20)</f>
        <v>377631.39412514382</v>
      </c>
      <c r="DM16" s="4">
        <f t="shared" si="60"/>
        <v>388960.33594889817</v>
      </c>
      <c r="DN16" s="4">
        <f t="shared" si="60"/>
        <v>400629.14602736512</v>
      </c>
      <c r="DO16" s="4">
        <f t="shared" si="60"/>
        <v>412648.02040818607</v>
      </c>
      <c r="DP16" s="4">
        <f t="shared" si="60"/>
        <v>425027.46102043166</v>
      </c>
      <c r="DQ16" s="4">
        <f t="shared" si="60"/>
        <v>437778.28485104459</v>
      </c>
    </row>
    <row r="17" spans="1:22" x14ac:dyDescent="0.2">
      <c r="B17" s="2" t="s">
        <v>28</v>
      </c>
      <c r="C17" s="6">
        <f>C16/C18</f>
        <v>7.077486272117145E-2</v>
      </c>
      <c r="D17" s="6" t="e">
        <f t="shared" ref="D17:H17" si="61">D16/D18</f>
        <v>#DIV/0!</v>
      </c>
      <c r="E17" s="6" t="e">
        <f t="shared" si="61"/>
        <v>#DIV/0!</v>
      </c>
      <c r="F17" s="6" t="e">
        <f t="shared" si="61"/>
        <v>#DIV/0!</v>
      </c>
      <c r="G17" s="6">
        <f t="shared" si="61"/>
        <v>0.43173431734317341</v>
      </c>
      <c r="H17" s="6">
        <f t="shared" si="61"/>
        <v>0</v>
      </c>
      <c r="I17" s="6">
        <f t="shared" ref="I17" si="62">I16/I18</f>
        <v>0</v>
      </c>
      <c r="J17" s="6">
        <f t="shared" ref="J17:M17" si="63">J16/J18</f>
        <v>0</v>
      </c>
      <c r="L17" s="6">
        <f t="shared" si="63"/>
        <v>0.76639083386378104</v>
      </c>
      <c r="M17" s="6">
        <f t="shared" si="63"/>
        <v>0.49476923076923079</v>
      </c>
      <c r="N17" s="6">
        <f t="shared" ref="N17" si="64">N16/N18</f>
        <v>1.06658521686011</v>
      </c>
      <c r="O17" s="6">
        <f t="shared" ref="O17" si="65">O16/O18</f>
        <v>1.5064311656578011</v>
      </c>
      <c r="P17" s="6">
        <f t="shared" ref="P17" si="66">P16/P18</f>
        <v>2.9157395045361163</v>
      </c>
      <c r="Q17" s="6">
        <f t="shared" ref="Q17" si="67">Q16/Q18</f>
        <v>5.1389699639452786</v>
      </c>
      <c r="R17" s="6">
        <f t="shared" ref="R17" si="68">R16/R18</f>
        <v>8.5727869327924875</v>
      </c>
      <c r="S17" s="6">
        <f t="shared" ref="S17" si="69">S16/S18</f>
        <v>13.792171319273576</v>
      </c>
    </row>
    <row r="18" spans="1:22" x14ac:dyDescent="0.2">
      <c r="B18" s="2" t="s">
        <v>2</v>
      </c>
      <c r="C18" s="2">
        <v>1639</v>
      </c>
      <c r="G18" s="2">
        <v>1626</v>
      </c>
      <c r="H18" s="2">
        <f>G18*0.998</f>
        <v>1622.748</v>
      </c>
      <c r="I18" s="2">
        <f t="shared" ref="I18:J18" si="70">H18*0.998</f>
        <v>1619.502504</v>
      </c>
      <c r="J18" s="2">
        <f t="shared" si="70"/>
        <v>1616.263498992</v>
      </c>
      <c r="L18" s="2">
        <v>1571</v>
      </c>
      <c r="M18" s="2">
        <v>1625</v>
      </c>
      <c r="N18" s="2">
        <v>1637</v>
      </c>
      <c r="O18" s="2">
        <f>N18*0.99</f>
        <v>1620.6299999999999</v>
      </c>
      <c r="P18" s="2">
        <f t="shared" ref="P18:S18" si="71">O18*0.99</f>
        <v>1604.4236999999998</v>
      </c>
      <c r="Q18" s="2">
        <f t="shared" si="71"/>
        <v>1588.3794629999998</v>
      </c>
      <c r="R18" s="2">
        <f t="shared" si="71"/>
        <v>1572.4956683699997</v>
      </c>
      <c r="S18" s="2">
        <f t="shared" si="71"/>
        <v>1556.7707116862998</v>
      </c>
    </row>
    <row r="19" spans="1:22" x14ac:dyDescent="0.2">
      <c r="U19" s="2" t="s">
        <v>41</v>
      </c>
      <c r="V19" s="9">
        <v>0.06</v>
      </c>
    </row>
    <row r="20" spans="1:22" s="4" customFormat="1" ht="15" x14ac:dyDescent="0.25">
      <c r="A20" s="2"/>
      <c r="B20" s="4" t="s">
        <v>29</v>
      </c>
      <c r="G20" s="7">
        <f>G2/C2-1</f>
        <v>0.35903526402338759</v>
      </c>
      <c r="M20" s="7">
        <f>M2/L2-1</f>
        <v>-3.9023770179229644E-2</v>
      </c>
      <c r="N20" s="7">
        <f t="shared" ref="N20:S20" si="72">N2/M2-1</f>
        <v>0.13690476190476186</v>
      </c>
      <c r="O20" s="7">
        <f t="shared" si="72"/>
        <v>0.34000000000000008</v>
      </c>
      <c r="P20" s="7">
        <f t="shared" si="72"/>
        <v>0.34000000000000008</v>
      </c>
      <c r="Q20" s="7">
        <f t="shared" si="72"/>
        <v>0.34000000000000008</v>
      </c>
      <c r="R20" s="7">
        <f t="shared" si="72"/>
        <v>0.34000000000000008</v>
      </c>
      <c r="S20" s="7">
        <f t="shared" si="72"/>
        <v>0.34000000000000008</v>
      </c>
      <c r="U20" s="2" t="s">
        <v>42</v>
      </c>
      <c r="V20" s="9">
        <v>0.03</v>
      </c>
    </row>
    <row r="21" spans="1:22" x14ac:dyDescent="0.2">
      <c r="B21" s="2" t="s">
        <v>31</v>
      </c>
      <c r="U21" s="2" t="s">
        <v>43</v>
      </c>
      <c r="V21" s="9">
        <v>9.5000000000000001E-2</v>
      </c>
    </row>
    <row r="22" spans="1:22" ht="15" x14ac:dyDescent="0.25">
      <c r="B22" s="2" t="s">
        <v>30</v>
      </c>
      <c r="C22" s="8">
        <f>C15/C14</f>
        <v>-0.8125</v>
      </c>
      <c r="D22" s="8" t="e">
        <f>D15/D14</f>
        <v>#DIV/0!</v>
      </c>
      <c r="E22" s="8" t="e">
        <f>E15/E14</f>
        <v>#DIV/0!</v>
      </c>
      <c r="F22" s="8" t="e">
        <f>F15/F14</f>
        <v>#DIV/0!</v>
      </c>
      <c r="G22" s="8">
        <f>G15/G14</f>
        <v>0.14909090909090908</v>
      </c>
      <c r="H22" s="8">
        <v>0.15</v>
      </c>
      <c r="I22" s="8">
        <v>0.15</v>
      </c>
      <c r="J22" s="8">
        <v>0.15</v>
      </c>
      <c r="L22" s="8">
        <f>L15/L14</f>
        <v>-0.11275415896487985</v>
      </c>
      <c r="M22" s="8">
        <f t="shared" ref="M22:N22" si="73">M15/M14</f>
        <v>-0.75545851528384278</v>
      </c>
      <c r="N22" s="8">
        <f t="shared" si="73"/>
        <v>0.17912552891396333</v>
      </c>
      <c r="O22" s="8">
        <v>0.19</v>
      </c>
      <c r="P22" s="8">
        <v>0.19</v>
      </c>
      <c r="Q22" s="8">
        <v>0.19</v>
      </c>
      <c r="R22" s="8">
        <v>0.19</v>
      </c>
      <c r="S22" s="8">
        <v>0.19</v>
      </c>
      <c r="U22" s="4" t="s">
        <v>44</v>
      </c>
      <c r="V22" s="4">
        <f>NPV(V21,O16:XFD16)+Main!D5-Main!D6</f>
        <v>252415.34081849491</v>
      </c>
    </row>
    <row r="23" spans="1:22" x14ac:dyDescent="0.2">
      <c r="U23" s="2" t="s">
        <v>1</v>
      </c>
      <c r="V23" s="2">
        <f>V22/Main!D3</f>
        <v>155.67701869398059</v>
      </c>
    </row>
    <row r="24" spans="1:22" s="4" customFormat="1" ht="15" x14ac:dyDescent="0.25">
      <c r="A24" s="2"/>
      <c r="B24" s="4" t="s">
        <v>32</v>
      </c>
      <c r="C24" s="7">
        <f>C6/C2</f>
        <v>0.46775077653937513</v>
      </c>
      <c r="D24" s="7" t="e">
        <f t="shared" ref="D24:N24" si="74">D6/D2</f>
        <v>#DIV/0!</v>
      </c>
      <c r="E24" s="7" t="e">
        <f t="shared" si="74"/>
        <v>#DIV/0!</v>
      </c>
      <c r="F24" s="7" t="e">
        <f t="shared" si="74"/>
        <v>#DIV/0!</v>
      </c>
      <c r="G24" s="7">
        <f t="shared" si="74"/>
        <v>0.50228556063457919</v>
      </c>
      <c r="H24" s="7" t="e">
        <f t="shared" si="74"/>
        <v>#DIV/0!</v>
      </c>
      <c r="I24" s="7" t="e">
        <f t="shared" si="74"/>
        <v>#DIV/0!</v>
      </c>
      <c r="J24" s="7" t="e">
        <f t="shared" si="74"/>
        <v>#DIV/0!</v>
      </c>
      <c r="L24" s="7">
        <f t="shared" si="74"/>
        <v>0.4492606245498072</v>
      </c>
      <c r="M24" s="7">
        <f t="shared" si="74"/>
        <v>0.46119929453262787</v>
      </c>
      <c r="N24" s="7">
        <f t="shared" si="74"/>
        <v>0.49350397517936784</v>
      </c>
      <c r="O24" s="7">
        <f>N24*1.03</f>
        <v>0.50830909443474892</v>
      </c>
      <c r="P24" s="7">
        <f t="shared" ref="P24:S24" si="75">O24*1.03</f>
        <v>0.52355836726779137</v>
      </c>
      <c r="Q24" s="7">
        <f t="shared" si="75"/>
        <v>0.53926511828582513</v>
      </c>
      <c r="R24" s="7">
        <f t="shared" si="75"/>
        <v>0.55544307183439989</v>
      </c>
      <c r="S24" s="7">
        <f t="shared" si="75"/>
        <v>0.57210636398943193</v>
      </c>
      <c r="U24" s="2" t="s">
        <v>45</v>
      </c>
      <c r="V24" s="8">
        <f>V23/Main!D2-1</f>
        <v>0.34204326460328094</v>
      </c>
    </row>
    <row r="25" spans="1:22" x14ac:dyDescent="0.2">
      <c r="B25" s="2" t="s">
        <v>33</v>
      </c>
      <c r="C25" s="8">
        <f>C11/C2</f>
        <v>6.5777452950849628E-3</v>
      </c>
      <c r="D25" s="8" t="e">
        <f t="shared" ref="D25:S25" si="76">D11/D2</f>
        <v>#DIV/0!</v>
      </c>
      <c r="E25" s="8" t="e">
        <f t="shared" si="76"/>
        <v>#DIV/0!</v>
      </c>
      <c r="F25" s="8" t="e">
        <f t="shared" si="76"/>
        <v>#DIV/0!</v>
      </c>
      <c r="G25" s="8">
        <f t="shared" si="76"/>
        <v>0.10836246302769562</v>
      </c>
      <c r="H25" s="8" t="e">
        <f t="shared" si="76"/>
        <v>#DIV/0!</v>
      </c>
      <c r="I25" s="8" t="e">
        <f t="shared" si="76"/>
        <v>#DIV/0!</v>
      </c>
      <c r="J25" s="8" t="e">
        <f t="shared" si="76"/>
        <v>#DIV/0!</v>
      </c>
      <c r="L25" s="8">
        <f t="shared" si="76"/>
        <v>4.9235201898224654E-2</v>
      </c>
      <c r="M25" s="8">
        <f t="shared" si="76"/>
        <v>1.6181657848324513E-2</v>
      </c>
      <c r="N25" s="8">
        <f t="shared" si="76"/>
        <v>7.9038200504169084E-2</v>
      </c>
      <c r="O25" s="8">
        <f t="shared" si="76"/>
        <v>7.7878611595889172E-2</v>
      </c>
      <c r="P25" s="8">
        <f t="shared" si="76"/>
        <v>0.11281500872600354</v>
      </c>
      <c r="Q25" s="8">
        <f t="shared" si="76"/>
        <v>0.1472245278262557</v>
      </c>
      <c r="R25" s="8">
        <f t="shared" si="76"/>
        <v>0.18117011105293787</v>
      </c>
      <c r="S25" s="8">
        <f t="shared" si="76"/>
        <v>0.21471265140217199</v>
      </c>
    </row>
    <row r="27" spans="1:22" x14ac:dyDescent="0.2">
      <c r="B27" s="2" t="s">
        <v>34</v>
      </c>
      <c r="C27" s="8">
        <f>C10/C2</f>
        <v>0.46117303124429015</v>
      </c>
      <c r="D27" s="8" t="e">
        <f t="shared" ref="D27:N27" si="77">D10/D2</f>
        <v>#DIV/0!</v>
      </c>
      <c r="E27" s="8" t="e">
        <f t="shared" si="77"/>
        <v>#DIV/0!</v>
      </c>
      <c r="F27" s="8" t="e">
        <f t="shared" si="77"/>
        <v>#DIV/0!</v>
      </c>
      <c r="G27" s="8">
        <f t="shared" si="77"/>
        <v>0.39392309760688354</v>
      </c>
      <c r="H27" s="8" t="e">
        <f t="shared" si="77"/>
        <v>#DIV/0!</v>
      </c>
      <c r="I27" s="8" t="e">
        <f t="shared" si="77"/>
        <v>#DIV/0!</v>
      </c>
      <c r="J27" s="8" t="e">
        <f t="shared" si="77"/>
        <v>#DIV/0!</v>
      </c>
      <c r="L27" s="8">
        <f t="shared" si="77"/>
        <v>0.40002542265158259</v>
      </c>
      <c r="M27" s="8">
        <f t="shared" si="77"/>
        <v>0.44501763668430333</v>
      </c>
      <c r="N27" s="8">
        <f t="shared" si="77"/>
        <v>0.41446577467519874</v>
      </c>
      <c r="O27" s="8">
        <f>N27*0.95</f>
        <v>0.39374248594143879</v>
      </c>
      <c r="P27" s="8">
        <f t="shared" ref="P27:S27" si="78">O27*0.95</f>
        <v>0.37405536164436681</v>
      </c>
      <c r="Q27" s="8">
        <f t="shared" si="78"/>
        <v>0.35535259356214843</v>
      </c>
      <c r="R27" s="8">
        <f t="shared" si="78"/>
        <v>0.33758496388404102</v>
      </c>
      <c r="S27" s="8">
        <f t="shared" si="78"/>
        <v>0.32070571568983897</v>
      </c>
    </row>
    <row r="29" spans="1:22" x14ac:dyDescent="0.2">
      <c r="B29" s="2" t="s">
        <v>35</v>
      </c>
      <c r="G29" s="2">
        <f>G30-G31</f>
        <v>1344</v>
      </c>
      <c r="H29" s="2">
        <f>G29+H16</f>
        <v>1344</v>
      </c>
      <c r="I29" s="2">
        <f t="shared" ref="I29:J29" si="79">H29+I16</f>
        <v>1344</v>
      </c>
      <c r="J29" s="2">
        <f t="shared" si="79"/>
        <v>1344</v>
      </c>
      <c r="N29" s="2">
        <f>N30-N31</f>
        <v>1344</v>
      </c>
      <c r="O29" s="2">
        <f t="shared" ref="O29:S29" si="80">N29+O16</f>
        <v>3785.367540000002</v>
      </c>
      <c r="P29" s="2">
        <f t="shared" si="80"/>
        <v>8463.4491041040037</v>
      </c>
      <c r="Q29" s="2">
        <f t="shared" si="80"/>
        <v>16626.083455808533</v>
      </c>
      <c r="R29" s="2">
        <f t="shared" si="80"/>
        <v>30106.753773483659</v>
      </c>
      <c r="S29" s="2">
        <f t="shared" si="80"/>
        <v>51578.002133888556</v>
      </c>
    </row>
    <row r="30" spans="1:22" x14ac:dyDescent="0.2">
      <c r="B30" s="2" t="s">
        <v>4</v>
      </c>
      <c r="G30" s="2">
        <f>6049+1261</f>
        <v>7310</v>
      </c>
      <c r="N30" s="2">
        <f>6049+1261</f>
        <v>7310</v>
      </c>
    </row>
    <row r="31" spans="1:22" x14ac:dyDescent="0.2">
      <c r="B31" s="2" t="s">
        <v>5</v>
      </c>
      <c r="G31" s="2">
        <f>3217+567+343+1839</f>
        <v>5966</v>
      </c>
      <c r="N31" s="2">
        <f>3217+567+343+1839</f>
        <v>5966</v>
      </c>
    </row>
    <row r="33" spans="1:19" x14ac:dyDescent="0.2">
      <c r="B33" s="2" t="s">
        <v>36</v>
      </c>
    </row>
    <row r="34" spans="1:19" x14ac:dyDescent="0.2">
      <c r="B34" s="2" t="s">
        <v>37</v>
      </c>
    </row>
    <row r="35" spans="1:19" s="4" customFormat="1" ht="15" x14ac:dyDescent="0.25">
      <c r="A35" s="2"/>
      <c r="B35" s="4" t="s">
        <v>38</v>
      </c>
      <c r="C35" s="4">
        <f>C33-C34</f>
        <v>0</v>
      </c>
      <c r="D35" s="4">
        <f t="shared" ref="D35:L35" si="81">D33-D34</f>
        <v>0</v>
      </c>
      <c r="E35" s="4">
        <f t="shared" si="81"/>
        <v>0</v>
      </c>
      <c r="F35" s="4">
        <f t="shared" si="81"/>
        <v>0</v>
      </c>
      <c r="G35" s="4">
        <f t="shared" si="81"/>
        <v>0</v>
      </c>
      <c r="H35" s="4">
        <f t="shared" si="81"/>
        <v>0</v>
      </c>
      <c r="I35" s="4">
        <f t="shared" si="81"/>
        <v>0</v>
      </c>
      <c r="J35" s="4">
        <f t="shared" si="81"/>
        <v>0</v>
      </c>
      <c r="L35" s="4">
        <f t="shared" si="81"/>
        <v>0</v>
      </c>
      <c r="M35" s="4">
        <f t="shared" ref="M35" si="82">M33-M34</f>
        <v>0</v>
      </c>
      <c r="N35" s="4">
        <f t="shared" ref="N35" si="83">N33-N34</f>
        <v>0</v>
      </c>
      <c r="O35" s="4">
        <f t="shared" ref="O35" si="84">O33-O34</f>
        <v>0</v>
      </c>
      <c r="P35" s="4">
        <f t="shared" ref="P35" si="85">P33-P34</f>
        <v>0</v>
      </c>
      <c r="Q35" s="4">
        <f t="shared" ref="Q35" si="86">Q33-Q34</f>
        <v>0</v>
      </c>
      <c r="R35" s="4">
        <f t="shared" ref="R35" si="87">R33-R34</f>
        <v>0</v>
      </c>
      <c r="S35" s="4">
        <f t="shared" ref="S35" si="88">S33-S34</f>
        <v>0</v>
      </c>
    </row>
  </sheetData>
  <hyperlinks>
    <hyperlink ref="A1" location="Main!A1" display="Main" xr:uid="{6C6E6DC2-BB6C-4E22-8817-0325556578A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2025-05-25T05:31:05Z</dcterms:created>
  <dcterms:modified xsi:type="dcterms:W3CDTF">2025-05-29T00:35:23Z</dcterms:modified>
</cp:coreProperties>
</file>