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65E288F3-23FE-43F1-9DCC-C5C08D62DCD6}" xr6:coauthVersionLast="47" xr6:coauthVersionMax="47" xr10:uidLastSave="{00000000-0000-0000-0000-000000000000}"/>
  <bookViews>
    <workbookView xWindow="390" yWindow="390" windowWidth="19425" windowHeight="14595" activeTab="1" xr2:uid="{8B933568-3C2B-49E2-8AFE-CD21F9455682}"/>
  </bookViews>
  <sheets>
    <sheet name="Main" sheetId="1" r:id="rId1"/>
    <sheet name="Model" sheetId="2" r:id="rId2"/>
    <sheet name="vepdegestrant" sheetId="4" r:id="rId3"/>
    <sheet name="luxdegalutamide" sheetId="5" r:id="rId4"/>
    <sheet name="ARV-102" sheetId="8" r:id="rId5"/>
    <sheet name="ARV-393" sheetId="7" r:id="rId6"/>
    <sheet name="ARV-806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Q14" i="2"/>
  <c r="R14" i="2" s="1"/>
  <c r="P14" i="2"/>
  <c r="Q13" i="2"/>
  <c r="R13" i="2"/>
  <c r="S13" i="2"/>
  <c r="T13" i="2" s="1"/>
  <c r="P13" i="2"/>
  <c r="B46" i="5"/>
  <c r="Q15" i="2"/>
  <c r="Q21" i="2"/>
  <c r="R21" i="2"/>
  <c r="S21" i="2"/>
  <c r="T21" i="2"/>
  <c r="U21" i="2"/>
  <c r="V21" i="2"/>
  <c r="W21" i="2"/>
  <c r="X21" i="2"/>
  <c r="P21" i="2"/>
  <c r="I21" i="2"/>
  <c r="J21" i="2"/>
  <c r="H21" i="2"/>
  <c r="G25" i="2"/>
  <c r="H17" i="2"/>
  <c r="I14" i="2"/>
  <c r="J14" i="2"/>
  <c r="H14" i="2"/>
  <c r="I13" i="2"/>
  <c r="J13" i="2"/>
  <c r="H13" i="2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T37" i="2"/>
  <c r="U37" i="2"/>
  <c r="V37" i="2"/>
  <c r="W37" i="2"/>
  <c r="X37" i="2"/>
  <c r="P12" i="2"/>
  <c r="I12" i="2"/>
  <c r="I7" i="2" s="1"/>
  <c r="N7" i="2"/>
  <c r="D7" i="2"/>
  <c r="E7" i="2"/>
  <c r="F7" i="2"/>
  <c r="H7" i="2"/>
  <c r="C7" i="2"/>
  <c r="G7" i="2"/>
  <c r="L37" i="2"/>
  <c r="M37" i="2"/>
  <c r="L29" i="2"/>
  <c r="M29" i="2"/>
  <c r="M24" i="2"/>
  <c r="N24" i="2"/>
  <c r="M15" i="2"/>
  <c r="M16" i="2" s="1"/>
  <c r="L15" i="2"/>
  <c r="L16" i="2" s="1"/>
  <c r="L18" i="2" s="1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H24" i="2"/>
  <c r="O21" i="2"/>
  <c r="O14" i="2"/>
  <c r="O13" i="2"/>
  <c r="N15" i="2"/>
  <c r="N16" i="2" s="1"/>
  <c r="N18" i="2" s="1"/>
  <c r="N20" i="2" s="1"/>
  <c r="N22" i="2" s="1"/>
  <c r="H15" i="2"/>
  <c r="H16" i="2" s="1"/>
  <c r="I15" i="2"/>
  <c r="J15" i="2"/>
  <c r="O11" i="2"/>
  <c r="O10" i="2"/>
  <c r="O33" i="2"/>
  <c r="O31" i="2"/>
  <c r="O37" i="2"/>
  <c r="P37" i="2"/>
  <c r="Q37" i="2"/>
  <c r="R37" i="2"/>
  <c r="S37" i="2"/>
  <c r="N37" i="2"/>
  <c r="N33" i="2"/>
  <c r="N31" i="2"/>
  <c r="H37" i="2"/>
  <c r="I37" i="2"/>
  <c r="J37" i="2"/>
  <c r="D37" i="2"/>
  <c r="E37" i="2"/>
  <c r="F37" i="2"/>
  <c r="G37" i="2"/>
  <c r="C37" i="2"/>
  <c r="G33" i="2"/>
  <c r="G31" i="2"/>
  <c r="C15" i="2"/>
  <c r="C16" i="2" s="1"/>
  <c r="D27" i="2"/>
  <c r="E27" i="2"/>
  <c r="F27" i="2"/>
  <c r="G24" i="2"/>
  <c r="G15" i="2"/>
  <c r="G16" i="2" s="1"/>
  <c r="K7" i="1"/>
  <c r="K6" i="1"/>
  <c r="K5" i="1"/>
  <c r="X11" i="2" l="1"/>
  <c r="R15" i="2"/>
  <c r="S14" i="2"/>
  <c r="U13" i="2"/>
  <c r="H18" i="2"/>
  <c r="U11" i="2"/>
  <c r="U12" i="2" s="1"/>
  <c r="W11" i="2"/>
  <c r="W12" i="2" s="1"/>
  <c r="T11" i="2"/>
  <c r="T12" i="2" s="1"/>
  <c r="S11" i="2"/>
  <c r="V11" i="2"/>
  <c r="V12" i="2" s="1"/>
  <c r="R11" i="2"/>
  <c r="R12" i="2" s="1"/>
  <c r="Q11" i="2"/>
  <c r="Q12" i="2" s="1"/>
  <c r="Q24" i="2" s="1"/>
  <c r="O15" i="2"/>
  <c r="S12" i="2"/>
  <c r="J12" i="2"/>
  <c r="O12" i="2"/>
  <c r="I16" i="2"/>
  <c r="I24" i="2"/>
  <c r="J7" i="2"/>
  <c r="X12" i="2"/>
  <c r="K8" i="1"/>
  <c r="L20" i="2"/>
  <c r="L22" i="2" s="1"/>
  <c r="L25" i="2"/>
  <c r="N25" i="2"/>
  <c r="N29" i="2"/>
  <c r="M18" i="2"/>
  <c r="M27" i="2"/>
  <c r="L27" i="2"/>
  <c r="G29" i="2"/>
  <c r="H27" i="2"/>
  <c r="C18" i="2"/>
  <c r="C20" i="2" s="1"/>
  <c r="C22" i="2" s="1"/>
  <c r="C27" i="2"/>
  <c r="G18" i="2"/>
  <c r="G20" i="2" s="1"/>
  <c r="G22" i="2" s="1"/>
  <c r="G27" i="2"/>
  <c r="N27" i="2"/>
  <c r="S15" i="2" l="1"/>
  <c r="T14" i="2"/>
  <c r="V13" i="2"/>
  <c r="H19" i="2"/>
  <c r="H20" i="2" s="1"/>
  <c r="S24" i="2"/>
  <c r="R24" i="2"/>
  <c r="T24" i="2"/>
  <c r="I27" i="2"/>
  <c r="J16" i="2"/>
  <c r="J24" i="2"/>
  <c r="P15" i="2"/>
  <c r="P16" i="2" s="1"/>
  <c r="P27" i="2" s="1"/>
  <c r="U24" i="2"/>
  <c r="V24" i="2"/>
  <c r="W24" i="2"/>
  <c r="X24" i="2"/>
  <c r="M20" i="2"/>
  <c r="M22" i="2" s="1"/>
  <c r="M25" i="2"/>
  <c r="U14" i="2" l="1"/>
  <c r="T15" i="2"/>
  <c r="W13" i="2"/>
  <c r="H22" i="2"/>
  <c r="H29" i="2"/>
  <c r="J27" i="2"/>
  <c r="Q16" i="2"/>
  <c r="Q27" i="2" s="1"/>
  <c r="V14" i="2" l="1"/>
  <c r="U15" i="2"/>
  <c r="X13" i="2"/>
  <c r="I17" i="2"/>
  <c r="I18" i="2" s="1"/>
  <c r="R16" i="2"/>
  <c r="R27" i="2" s="1"/>
  <c r="W14" i="2" l="1"/>
  <c r="V15" i="2"/>
  <c r="I19" i="2"/>
  <c r="I20" i="2" s="1"/>
  <c r="S16" i="2"/>
  <c r="S27" i="2" s="1"/>
  <c r="X14" i="2" l="1"/>
  <c r="X15" i="2" s="1"/>
  <c r="W15" i="2"/>
  <c r="I22" i="2"/>
  <c r="I29" i="2"/>
  <c r="J17" i="2" s="1"/>
  <c r="T16" i="2"/>
  <c r="T27" i="2" s="1"/>
  <c r="O17" i="2" l="1"/>
  <c r="J18" i="2"/>
  <c r="U16" i="2"/>
  <c r="U27" i="2" s="1"/>
  <c r="J19" i="2" l="1"/>
  <c r="O19" i="2" s="1"/>
  <c r="J20" i="2"/>
  <c r="V16" i="2"/>
  <c r="V27" i="2" s="1"/>
  <c r="J22" i="2" l="1"/>
  <c r="J29" i="2"/>
  <c r="O29" i="2" s="1"/>
  <c r="W16" i="2"/>
  <c r="W27" i="2" s="1"/>
  <c r="X16" i="2"/>
  <c r="X27" i="2" s="1"/>
  <c r="P17" i="2" l="1"/>
  <c r="P18" i="2" s="1"/>
  <c r="P19" i="2" s="1"/>
  <c r="P20" i="2" s="1"/>
  <c r="O16" i="2"/>
  <c r="O18" i="2" s="1"/>
  <c r="O27" i="2"/>
  <c r="P24" i="2"/>
  <c r="O7" i="2"/>
  <c r="O24" i="2"/>
  <c r="P22" i="2" l="1"/>
  <c r="P29" i="2"/>
  <c r="O25" i="2"/>
  <c r="O20" i="2"/>
  <c r="Q17" i="2" l="1"/>
  <c r="Q18" i="2" s="1"/>
  <c r="Q19" i="2" s="1"/>
  <c r="Q20" i="2" s="1"/>
  <c r="O22" i="2"/>
  <c r="Q22" i="2" l="1"/>
  <c r="Q29" i="2"/>
  <c r="R17" i="2" l="1"/>
  <c r="R18" i="2" s="1"/>
  <c r="R19" i="2" s="1"/>
  <c r="R20" i="2" s="1"/>
  <c r="R29" i="2"/>
  <c r="R22" i="2" l="1"/>
  <c r="S17" i="2"/>
  <c r="S18" i="2" s="1"/>
  <c r="S19" i="2" s="1"/>
  <c r="S20" i="2" s="1"/>
  <c r="S22" i="2" s="1"/>
  <c r="S29" i="2" l="1"/>
  <c r="T17" i="2" s="1"/>
  <c r="T18" i="2" s="1"/>
  <c r="T19" i="2" s="1"/>
  <c r="T20" i="2" s="1"/>
  <c r="T22" i="2" s="1"/>
  <c r="T29" i="2" l="1"/>
  <c r="U17" i="2" s="1"/>
  <c r="U18" i="2" s="1"/>
  <c r="U19" i="2" s="1"/>
  <c r="U20" i="2" s="1"/>
  <c r="U22" i="2" l="1"/>
  <c r="U29" i="2"/>
  <c r="V17" i="2" s="1"/>
  <c r="V18" i="2" s="1"/>
  <c r="V19" i="2" s="1"/>
  <c r="V20" i="2" s="1"/>
  <c r="V22" i="2" l="1"/>
  <c r="V29" i="2"/>
  <c r="W17" i="2" l="1"/>
  <c r="W18" i="2" s="1"/>
  <c r="W19" i="2" l="1"/>
  <c r="W20" i="2" s="1"/>
  <c r="W22" i="2" l="1"/>
  <c r="W29" i="2"/>
  <c r="X17" i="2" l="1"/>
  <c r="X18" i="2" s="1"/>
  <c r="X19" i="2" l="1"/>
  <c r="X20" i="2" s="1"/>
  <c r="Y20" i="2" s="1"/>
  <c r="X22" i="2" l="1"/>
  <c r="X29" i="2"/>
  <c r="Z20" i="2" l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AA28" i="2" s="1"/>
  <c r="AA29" i="2" l="1"/>
  <c r="AA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tc={14C6780A-F556-4130-AA8A-C0E6A846B2BC}</author>
  </authors>
  <commentList>
    <comment ref="C10" authorId="0" shapeId="0" xr:uid="{14C6780A-F556-4130-AA8A-C0E6A846B2BC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in combination w/ capivasertib (trucap)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tc={257C9974-090A-4346-B9FD-7E7569BA05CF}</author>
  </authors>
  <commentList>
    <comment ref="B7" authorId="0" shapeId="0" xr:uid="{257C9974-090A-4346-B9FD-7E7569BA05CF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rights out-licensed to Novartis in 2024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tc={1FDBB68D-0997-44A4-8BDA-D49BD386A404}</author>
  </authors>
  <commentList>
    <comment ref="C2" authorId="0" shapeId="0" xr:uid="{1FDBB68D-0997-44A4-8BDA-D49BD386A404}">
      <text>
        <t>[Threaded comment]
Your version of Excel allows you to read this threaded comment; however, any edits to it will get removed if the file is opened in a newer version of Excel. Learn more: https://go.microsoft.com/fwlink/?linkid=870924
Comment:
    Novel drug</t>
      </text>
    </comment>
  </commentList>
</comments>
</file>

<file path=xl/sharedStrings.xml><?xml version="1.0" encoding="utf-8"?>
<sst xmlns="http://schemas.openxmlformats.org/spreadsheetml/2006/main" count="158" uniqueCount="97">
  <si>
    <t>ARVN</t>
  </si>
  <si>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</si>
  <si>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</si>
  <si>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</si>
  <si>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</si>
  <si>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</si>
  <si>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</si>
  <si>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</si>
  <si>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</si>
  <si>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</si>
  <si>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R&amp;D</t>
  </si>
  <si>
    <t>G&amp;A</t>
  </si>
  <si>
    <t>Operating Expenses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</si>
  <si>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</si>
  <si>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</si>
  <si>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</si>
  <si>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</si>
  <si>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</si>
  <si>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</si>
  <si>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</si>
  <si>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Vepdegestrant</t>
  </si>
  <si>
    <t>ARV-393</t>
  </si>
  <si>
    <t>Q124</t>
  </si>
  <si>
    <t>Q224</t>
  </si>
  <si>
    <t>Q324</t>
  </si>
  <si>
    <t>Q424</t>
  </si>
  <si>
    <t>Q225</t>
  </si>
  <si>
    <t>Q325</t>
  </si>
  <si>
    <t>Q425</t>
  </si>
  <si>
    <t>Operating Margin</t>
  </si>
  <si>
    <t>Net Cash</t>
  </si>
  <si>
    <t>CFFO</t>
  </si>
  <si>
    <t>CX</t>
  </si>
  <si>
    <t>FCF</t>
  </si>
  <si>
    <t>ROIC</t>
  </si>
  <si>
    <t>Maturity</t>
  </si>
  <si>
    <t>Discount</t>
  </si>
  <si>
    <t>NPV</t>
  </si>
  <si>
    <t>Diff</t>
  </si>
  <si>
    <t>Tax Rate</t>
  </si>
  <si>
    <t>ARV-102</t>
  </si>
  <si>
    <t>ARV-806</t>
  </si>
  <si>
    <t>ARV-766</t>
  </si>
  <si>
    <t>Indication</t>
  </si>
  <si>
    <t>MOA</t>
  </si>
  <si>
    <t>Brand</t>
  </si>
  <si>
    <t>Generic</t>
  </si>
  <si>
    <t>Phase</t>
  </si>
  <si>
    <t>Economics</t>
  </si>
  <si>
    <t>IP</t>
  </si>
  <si>
    <t>ARV-471</t>
  </si>
  <si>
    <t>III</t>
  </si>
  <si>
    <t>I</t>
  </si>
  <si>
    <t>Breast Cancer</t>
  </si>
  <si>
    <t>luxdegalutamide</t>
  </si>
  <si>
    <t>vepdegestrant</t>
  </si>
  <si>
    <t>PROTAC BCL6</t>
  </si>
  <si>
    <t>PROTAC ER</t>
  </si>
  <si>
    <t>Clinical Trials</t>
  </si>
  <si>
    <t>NVS milestones</t>
  </si>
  <si>
    <t>shared w/ PFE</t>
  </si>
  <si>
    <t>Prostate Cancer</t>
  </si>
  <si>
    <t>Alzheimers/Parkinsons</t>
  </si>
  <si>
    <t xml:space="preserve">PROTAC LRRK2 </t>
  </si>
  <si>
    <t>PROTAC KRAS G12</t>
  </si>
  <si>
    <t>PROTAC AR</t>
  </si>
  <si>
    <t>John Houston, Ph.D - CEO</t>
  </si>
  <si>
    <t>Noah Berkowitz, M.D - Chief Medical Officer</t>
  </si>
  <si>
    <t>Angela M. Cacace, Ph.D - Chief Scientific Officer</t>
  </si>
  <si>
    <t>Jeff Boyle - Investors Relations - Jeff.Boyle@arvinas.com</t>
  </si>
  <si>
    <t>Kirsten Owens - Media - Kirsten.Owens@arvinas.com</t>
  </si>
  <si>
    <t>LBCL/FL</t>
  </si>
  <si>
    <t>Tumors w/ KRAS mutation</t>
  </si>
  <si>
    <t>AM Vepdegestrant</t>
  </si>
  <si>
    <t>Vepdegestrant Price</t>
  </si>
  <si>
    <t>fulvestrant</t>
  </si>
  <si>
    <t>AZN</t>
  </si>
  <si>
    <t>comparable to vepdegestrant</t>
  </si>
  <si>
    <t>Fulvestrant Rev</t>
  </si>
  <si>
    <t>Faslodex</t>
  </si>
  <si>
    <t>Truqap Rev</t>
  </si>
  <si>
    <t>Preclinical</t>
  </si>
  <si>
    <t>Phase III "VERITAC-2"</t>
  </si>
  <si>
    <t>Phase I</t>
  </si>
  <si>
    <t>Present data 2Q 2025</t>
  </si>
  <si>
    <t>Share data w/ regulatory authorities &amp; submit drug application to FDA 2H 2025</t>
  </si>
  <si>
    <t>PFE combination cohort w/ KAT6 inhibitor "PF-07248144"</t>
  </si>
  <si>
    <t>evaluating KAT6 inhibitor in combination w/ endocrine therapies following CDK4/6 inhibitor treatments</t>
  </si>
  <si>
    <t>Phase I "NCT04606446" by PFE</t>
  </si>
  <si>
    <t>Present final data from SAD/MAD cohorts in healthy volunteers 2H 2025</t>
  </si>
  <si>
    <t>Continue &amp; present initial data from SAD cohort of Phase I w/ Parkinson's 2H 2025</t>
  </si>
  <si>
    <t>Initiate MAD cohort in Phase I w/ Parkinson's 2H 2025</t>
  </si>
  <si>
    <t>Present data demonstrating single agent activity in patient derived xenograft models of transformed Follicular Lymphoma &amp; patient-derived xenograft model of nTFHL-AI "a rare and aggressive non-Hodgkin lymphoma with high unmet need and limited treatment options" June 12-15 2025</t>
  </si>
  <si>
    <t>Share data in combination w/ an emerging SOC option 2H 2025</t>
  </si>
  <si>
    <t>Phase I in patients w/ NHL "NCT06393738"</t>
  </si>
  <si>
    <t>Share preliminary data 2H 2025</t>
  </si>
  <si>
    <t>Initate first-in-human Phase I in patients w/ solid tumors harboring KRAS G12D mutations 2H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</si>
</sst>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b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0" fontId="2" fillId="0" borderId="0" xfId="1"/>
    <xf numFmtId="3" fontId="2" fillId="0" borderId="0" xfId="1" applyNumberFormat="1"/>
    <xf numFmtId="3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" fontId="0" fillId="0" borderId="0" xfId="0" applyNumberFormat="1"/>
    <xf numFmtId="10" fontId="0" fillId="0" borderId="0" xfId="0" applyNumberFormat="1"/>
    <xf numFmtId="3" fontId="0" fillId="0" borderId="3" xfId="0" applyNumberFormat="1" applyBorder="1"/>
    <xf numFmtId="0" fontId="0" fillId="0" borderId="4" xfId="0" applyBorder="1"/>
    <xf numFmtId="0" fontId="0" fillId="0" borderId="5" xfId="0" applyBorder="1"/>
    <xf numFmtId="3" fontId="0" fillId="0" borderId="1" xfId="0" applyNumberFormat="1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1" applyBorder="1"/>
    <xf numFmtId="3" fontId="2" fillId="0" borderId="0" xfId="1" applyNumberFormat="1" applyBorder="1" applyAlignme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9525</xdr:rowOff>
    </xdr:from>
    <xdr:to>
      <xdr:col>7</xdr:col>
      <xdr:colOff>0</xdr:colOff>
      <xdr:row>62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0CAE2E9-4F20-1540-74DA-6B6908166C24}"/>
            </a:ext>
          </a:extLst>
        </xdr:cNvPr>
        <xdr:cNvCxnSpPr/>
      </xdr:nvCxnSpPr>
      <xdr:spPr>
        <a:xfrm>
          <a:off x="5086350" y="9525"/>
          <a:ext cx="0" cy="9829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0</xdr:row>
      <xdr:rowOff>57150</xdr:rowOff>
    </xdr:from>
    <xdr:to>
      <xdr:col>14</xdr:col>
      <xdr:colOff>28575</xdr:colOff>
      <xdr:row>49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1727AC9-B7D8-D2D4-77CB-5E1ECF693A7D}"/>
            </a:ext>
          </a:extLst>
        </xdr:cNvPr>
        <xdr:cNvCxnSpPr/>
      </xdr:nvCxnSpPr>
      <xdr:spPr>
        <a:xfrm>
          <a:off x="9886950" y="57150"/>
          <a:ext cx="28575" cy="8572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B253967C-2172-4B8C-B998-19CF003D6A6D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5-05-30T16:46:09.89" personId="{B253967C-2172-4B8C-B998-19CF003D6A6D}" id="{14C6780A-F556-4130-AA8A-C0E6A846B2BC}">
    <text>Approved in combination w/ capivasertib (trucap)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5-05-30T03:51:43.55" personId="{B253967C-2172-4B8C-B998-19CF003D6A6D}" id="{257C9974-090A-4346-B9FD-7E7569BA05CF}">
    <text>Global rights out-licensed to Novartis in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2" dT="2025-05-31T00:22:37.82" personId="{B253967C-2172-4B8C-B998-19CF003D6A6D}" id="{1FDBB68D-0997-44A4-8BDA-D49BD386A404}">
    <text>Novel drug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B678-3E4D-4596-B817-7F0BBEA796CF}">
  <dimension ref="A1:L17"/>
  <sheetViews>
    <sheetView zoomScaleNormal="100" workbookViewId="0">
      <selection activeCell="K7" sqref="K7"/>
    </sheetView>
  </sheetViews>
  <sheetFormatPr defaultRowHeight="14.25" x14ac:dyDescent="0.2"/>
  <cols>
    <col min="3" max="3" width="14.125" customWidth="1"/>
    <col min="4" max="4" width="22.875" customWidth="1"/>
    <col min="6" max="6" width="15.125" customWidth="1"/>
    <col min="7" max="7" width="19.25" customWidth="1"/>
  </cols>
  <sheetData>
    <row r="1" spans="1:12" ht="15" x14ac:dyDescent="0.25">
      <c r="A1" s="1" t="s">
        <v>0</v>
      </c>
    </row>
    <row r="3" spans="1:12" x14ac:dyDescent="0.2">
      <c r="B3" s="16" t="s">
        <v>45</v>
      </c>
      <c r="C3" s="17" t="s">
        <v>46</v>
      </c>
      <c r="D3" s="17" t="s">
        <v>43</v>
      </c>
      <c r="E3" s="17" t="s">
        <v>47</v>
      </c>
      <c r="F3" s="17" t="s">
        <v>48</v>
      </c>
      <c r="G3" s="17" t="s">
        <v>44</v>
      </c>
      <c r="H3" s="18" t="s">
        <v>49</v>
      </c>
      <c r="J3" t="s">
        <v>1</v>
      </c>
      <c r="K3" s="2">
        <v>7.5</v>
      </c>
    </row>
    <row r="4" spans="1:12" x14ac:dyDescent="0.2">
      <c r="B4" s="14" t="s">
        <v>40</v>
      </c>
      <c r="D4" t="s">
        <v>62</v>
      </c>
      <c r="E4" s="19" t="s">
        <v>52</v>
      </c>
      <c r="F4" s="19"/>
      <c r="G4" t="s">
        <v>63</v>
      </c>
      <c r="H4" s="15"/>
      <c r="J4" t="s">
        <v>2</v>
      </c>
      <c r="K4" s="3">
        <v>72.991389999999996</v>
      </c>
      <c r="L4" t="s">
        <v>7</v>
      </c>
    </row>
    <row r="5" spans="1:12" x14ac:dyDescent="0.2">
      <c r="B5" s="14" t="s">
        <v>21</v>
      </c>
      <c r="D5" t="s">
        <v>71</v>
      </c>
      <c r="E5" s="19" t="s">
        <v>52</v>
      </c>
      <c r="F5" s="19"/>
      <c r="G5" t="s">
        <v>56</v>
      </c>
      <c r="H5" s="15"/>
      <c r="J5" t="s">
        <v>3</v>
      </c>
      <c r="K5" s="3">
        <f>K4*K3</f>
        <v>547.43542500000001</v>
      </c>
    </row>
    <row r="6" spans="1:12" x14ac:dyDescent="0.2">
      <c r="B6" s="14" t="s">
        <v>41</v>
      </c>
      <c r="D6" t="s">
        <v>72</v>
      </c>
      <c r="E6" s="19" t="s">
        <v>52</v>
      </c>
      <c r="F6" s="19"/>
      <c r="G6" t="s">
        <v>64</v>
      </c>
      <c r="H6" s="15"/>
      <c r="J6" t="s">
        <v>4</v>
      </c>
      <c r="K6" s="3">
        <f>81+873.3</f>
        <v>954.3</v>
      </c>
      <c r="L6" t="s">
        <v>7</v>
      </c>
    </row>
    <row r="7" spans="1:12" x14ac:dyDescent="0.2">
      <c r="B7" s="14" t="s">
        <v>50</v>
      </c>
      <c r="C7" s="22" t="s">
        <v>55</v>
      </c>
      <c r="D7" t="s">
        <v>53</v>
      </c>
      <c r="E7" s="19" t="s">
        <v>51</v>
      </c>
      <c r="F7" s="19" t="s">
        <v>60</v>
      </c>
      <c r="G7" t="s">
        <v>57</v>
      </c>
      <c r="H7" s="15"/>
      <c r="J7" t="s">
        <v>5</v>
      </c>
      <c r="K7" s="3">
        <f>118.4+0.5+8.1</f>
        <v>127</v>
      </c>
      <c r="L7" t="s">
        <v>7</v>
      </c>
    </row>
    <row r="8" spans="1:12" x14ac:dyDescent="0.2">
      <c r="B8" s="11" t="s">
        <v>42</v>
      </c>
      <c r="C8" s="21" t="s">
        <v>54</v>
      </c>
      <c r="D8" s="12" t="s">
        <v>61</v>
      </c>
      <c r="E8" s="20" t="s">
        <v>51</v>
      </c>
      <c r="F8" s="20" t="s">
        <v>59</v>
      </c>
      <c r="G8" s="12" t="s">
        <v>65</v>
      </c>
      <c r="H8" s="13"/>
      <c r="J8" t="s">
        <v>6</v>
      </c>
      <c r="K8" s="3">
        <f>K4+K7-K6</f>
        <v>-754.30860999999993</v>
      </c>
    </row>
    <row r="10" spans="1:12" x14ac:dyDescent="0.2">
      <c r="B10" s="3" t="s">
        <v>79</v>
      </c>
      <c r="C10" s="3" t="s">
        <v>75</v>
      </c>
      <c r="D10" t="s">
        <v>77</v>
      </c>
      <c r="F10" t="s">
        <v>76</v>
      </c>
      <c r="K10" s="3"/>
    </row>
    <row r="13" spans="1:12" x14ac:dyDescent="0.2">
      <c r="B13" t="s">
        <v>66</v>
      </c>
    </row>
    <row r="14" spans="1:12" x14ac:dyDescent="0.2">
      <c r="B14" t="s">
        <v>67</v>
      </c>
    </row>
    <row r="15" spans="1:12" x14ac:dyDescent="0.2">
      <c r="B15" t="s">
        <v>68</v>
      </c>
    </row>
    <row r="16" spans="1:12" x14ac:dyDescent="0.2">
      <c r="B16" t="s">
        <v>69</v>
      </c>
    </row>
    <row r="17" spans="2:8" x14ac:dyDescent="0.2">
      <c r="B17" t="s">
        <v>70</v>
      </c>
      <c r="H17" s="8"/>
    </row>
  </sheetData>
  <hyperlinks>
    <hyperlink ref="C8" location="Luxdegalutamide!A1" display="luxdegalutamide" xr:uid="{A8FFEFE6-4C43-4319-A43D-6533B34FA89A}"/>
    <hyperlink ref="C7" location="Vepdegestrant!A1" display="vepdegestrant" xr:uid="{3B912642-2AA9-48E1-9FD8-C48A2E11EFC3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490E-060A-4BBA-A7F8-7C82CDA69E04}">
  <dimension ref="A1:DI37"/>
  <sheetViews>
    <sheetView tabSelected="1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R3" sqref="R3"/>
    </sheetView>
  </sheetViews>
  <sheetFormatPr defaultRowHeight="14.25" x14ac:dyDescent="0.2"/>
  <cols>
    <col min="1" max="1" width="4.375" style="3" customWidth="1"/>
    <col min="2" max="2" width="17.375" style="3" customWidth="1"/>
    <col min="3" max="16384" width="9" style="3"/>
  </cols>
  <sheetData>
    <row r="1" spans="1:24" x14ac:dyDescent="0.2">
      <c r="A1" s="5" t="s">
        <v>8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7</v>
      </c>
      <c r="H1" s="3" t="s">
        <v>26</v>
      </c>
      <c r="I1" s="3" t="s">
        <v>27</v>
      </c>
      <c r="J1" s="3" t="s">
        <v>28</v>
      </c>
      <c r="L1" s="9">
        <v>2022</v>
      </c>
      <c r="M1" s="9">
        <f>L1+1</f>
        <v>2023</v>
      </c>
      <c r="N1" s="9">
        <f>M1+1</f>
        <v>2024</v>
      </c>
      <c r="O1" s="9">
        <f>N1+1</f>
        <v>2025</v>
      </c>
      <c r="P1" s="9">
        <f t="shared" ref="P1:X1" si="0">O1+1</f>
        <v>2026</v>
      </c>
      <c r="Q1" s="9">
        <f t="shared" si="0"/>
        <v>2027</v>
      </c>
      <c r="R1" s="9">
        <f t="shared" si="0"/>
        <v>2028</v>
      </c>
      <c r="S1" s="9">
        <f t="shared" si="0"/>
        <v>2029</v>
      </c>
      <c r="T1" s="9">
        <f t="shared" si="0"/>
        <v>2030</v>
      </c>
      <c r="U1" s="9">
        <f t="shared" si="0"/>
        <v>2031</v>
      </c>
      <c r="V1" s="9">
        <f t="shared" si="0"/>
        <v>2032</v>
      </c>
      <c r="W1" s="9">
        <f t="shared" si="0"/>
        <v>2033</v>
      </c>
      <c r="X1" s="9">
        <f t="shared" si="0"/>
        <v>2034</v>
      </c>
    </row>
    <row r="2" spans="1:24" x14ac:dyDescent="0.2">
      <c r="A2" s="5"/>
      <c r="B2" s="3" t="s">
        <v>73</v>
      </c>
      <c r="L2" s="9"/>
      <c r="M2" s="9"/>
      <c r="N2" s="3">
        <f>200000*0.4</f>
        <v>80000</v>
      </c>
      <c r="O2" s="3">
        <f>N2*1.09</f>
        <v>87200</v>
      </c>
      <c r="P2" s="3">
        <f t="shared" ref="P2:X2" si="1">O2*1.09</f>
        <v>95048</v>
      </c>
      <c r="Q2" s="3">
        <f t="shared" si="1"/>
        <v>103602.32</v>
      </c>
      <c r="R2" s="3">
        <f t="shared" si="1"/>
        <v>112926.52880000001</v>
      </c>
      <c r="S2" s="3">
        <f t="shared" si="1"/>
        <v>123089.91639200003</v>
      </c>
      <c r="T2" s="3">
        <f t="shared" si="1"/>
        <v>134168.00886728003</v>
      </c>
      <c r="U2" s="3">
        <f t="shared" si="1"/>
        <v>146243.12966533526</v>
      </c>
      <c r="V2" s="3">
        <f t="shared" si="1"/>
        <v>159405.01133521544</v>
      </c>
      <c r="W2" s="3">
        <f t="shared" si="1"/>
        <v>173751.46235538484</v>
      </c>
      <c r="X2" s="3">
        <f t="shared" si="1"/>
        <v>189389.0939673695</v>
      </c>
    </row>
    <row r="3" spans="1:24" x14ac:dyDescent="0.2">
      <c r="A3" s="5"/>
      <c r="B3" s="3" t="s">
        <v>74</v>
      </c>
      <c r="L3" s="9"/>
      <c r="M3" s="9"/>
      <c r="N3" s="3">
        <v>4000</v>
      </c>
      <c r="O3" s="3">
        <v>4000</v>
      </c>
      <c r="P3" s="3">
        <v>4000</v>
      </c>
      <c r="Q3" s="3">
        <v>4000</v>
      </c>
      <c r="R3" s="3">
        <f>Q3*1.1</f>
        <v>4400</v>
      </c>
      <c r="S3" s="3">
        <v>4000</v>
      </c>
      <c r="T3" s="3">
        <v>4000</v>
      </c>
      <c r="U3" s="3">
        <v>4000</v>
      </c>
      <c r="V3" s="3">
        <v>4000</v>
      </c>
      <c r="W3" s="3">
        <v>4000</v>
      </c>
      <c r="X3" s="3">
        <v>4000</v>
      </c>
    </row>
    <row r="4" spans="1:24" x14ac:dyDescent="0.2">
      <c r="A4" s="5"/>
      <c r="B4" s="3" t="s">
        <v>78</v>
      </c>
      <c r="L4" s="3">
        <v>334</v>
      </c>
      <c r="M4" s="9">
        <v>297</v>
      </c>
      <c r="N4" s="3">
        <v>220</v>
      </c>
    </row>
    <row r="5" spans="1:24" x14ac:dyDescent="0.2">
      <c r="A5" s="5"/>
      <c r="B5" s="3" t="s">
        <v>80</v>
      </c>
      <c r="M5" s="9"/>
      <c r="N5" s="3">
        <v>430</v>
      </c>
    </row>
    <row r="6" spans="1:24" x14ac:dyDescent="0.2">
      <c r="A6" s="5"/>
      <c r="L6" s="9"/>
      <c r="M6" s="9"/>
      <c r="N6" s="9"/>
      <c r="O6" s="9"/>
      <c r="P6" s="9"/>
    </row>
    <row r="7" spans="1:24" x14ac:dyDescent="0.2">
      <c r="A7" s="5"/>
      <c r="B7" s="3" t="s">
        <v>42</v>
      </c>
      <c r="C7" s="3">
        <f t="shared" ref="C7:J7" si="2">C12</f>
        <v>25.3</v>
      </c>
      <c r="D7" s="3">
        <f t="shared" si="2"/>
        <v>0</v>
      </c>
      <c r="E7" s="3">
        <f t="shared" si="2"/>
        <v>0</v>
      </c>
      <c r="F7" s="3">
        <f t="shared" si="2"/>
        <v>0</v>
      </c>
      <c r="G7" s="3">
        <f t="shared" si="2"/>
        <v>188.8</v>
      </c>
      <c r="H7" s="3">
        <f t="shared" si="2"/>
        <v>25</v>
      </c>
      <c r="I7" s="3">
        <f t="shared" si="2"/>
        <v>25.25</v>
      </c>
      <c r="J7" s="3">
        <f t="shared" si="2"/>
        <v>25.502500000000001</v>
      </c>
      <c r="M7" s="9"/>
      <c r="N7" s="3">
        <f>N12</f>
        <v>263.39999999999998</v>
      </c>
      <c r="O7" s="3">
        <f>O12</f>
        <v>264.55250000000001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</row>
    <row r="8" spans="1:24" x14ac:dyDescent="0.2">
      <c r="A8" s="5"/>
      <c r="B8" s="3" t="s">
        <v>40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</row>
    <row r="9" spans="1:24" x14ac:dyDescent="0.2">
      <c r="A9" s="5"/>
      <c r="B9" s="3" t="s">
        <v>21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</row>
    <row r="10" spans="1:24" x14ac:dyDescent="0.2">
      <c r="A10" s="5"/>
      <c r="B10" s="3" t="s">
        <v>41</v>
      </c>
      <c r="O10" s="3">
        <f>SUM(G10:J10)</f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</row>
    <row r="11" spans="1:24" x14ac:dyDescent="0.2">
      <c r="A11" s="5"/>
      <c r="B11" s="3" t="s">
        <v>20</v>
      </c>
      <c r="O11" s="3">
        <f>SUM(G11:J11)</f>
        <v>0</v>
      </c>
      <c r="P11" s="3">
        <v>0</v>
      </c>
      <c r="Q11" s="9">
        <f t="shared" ref="Q11:X11" si="3">Q3*Q2/1000000</f>
        <v>414.40928000000002</v>
      </c>
      <c r="R11" s="9">
        <f t="shared" si="3"/>
        <v>496.87672672000008</v>
      </c>
      <c r="S11" s="9">
        <f t="shared" si="3"/>
        <v>492.35966556800014</v>
      </c>
      <c r="T11" s="9">
        <f t="shared" si="3"/>
        <v>536.67203546912015</v>
      </c>
      <c r="U11" s="9">
        <f t="shared" si="3"/>
        <v>584.97251866134104</v>
      </c>
      <c r="V11" s="9">
        <f t="shared" si="3"/>
        <v>637.62004534086179</v>
      </c>
      <c r="W11" s="9">
        <f t="shared" si="3"/>
        <v>695.00584942153932</v>
      </c>
      <c r="X11" s="9">
        <f t="shared" si="3"/>
        <v>757.55637586947796</v>
      </c>
    </row>
    <row r="12" spans="1:24" s="6" customFormat="1" ht="15" x14ac:dyDescent="0.25">
      <c r="A12" s="3"/>
      <c r="B12" s="6" t="s">
        <v>9</v>
      </c>
      <c r="C12" s="6">
        <v>25.3</v>
      </c>
      <c r="G12" s="6">
        <v>188.8</v>
      </c>
      <c r="H12" s="6">
        <v>25</v>
      </c>
      <c r="I12" s="6">
        <f t="shared" ref="I12:J12" si="4">H12*1.01</f>
        <v>25.25</v>
      </c>
      <c r="J12" s="6">
        <f t="shared" si="4"/>
        <v>25.502500000000001</v>
      </c>
      <c r="L12" s="6">
        <v>131.4</v>
      </c>
      <c r="M12" s="6">
        <v>78.5</v>
      </c>
      <c r="N12" s="6">
        <v>263.39999999999998</v>
      </c>
      <c r="O12" s="6">
        <f>SUM(G12:J12)</f>
        <v>264.55250000000001</v>
      </c>
      <c r="P12" s="6">
        <f t="shared" ref="P12:X12" si="5">SUM(P7:P11)</f>
        <v>0</v>
      </c>
      <c r="Q12" s="6">
        <f t="shared" si="5"/>
        <v>414.40928000000002</v>
      </c>
      <c r="R12" s="6">
        <f t="shared" si="5"/>
        <v>496.87672672000008</v>
      </c>
      <c r="S12" s="6">
        <f t="shared" si="5"/>
        <v>492.35966556800014</v>
      </c>
      <c r="T12" s="6">
        <f t="shared" si="5"/>
        <v>536.67203546912015</v>
      </c>
      <c r="U12" s="6">
        <f t="shared" si="5"/>
        <v>584.97251866134104</v>
      </c>
      <c r="V12" s="6">
        <f t="shared" si="5"/>
        <v>637.62004534086179</v>
      </c>
      <c r="W12" s="6">
        <f t="shared" si="5"/>
        <v>695.00584942153932</v>
      </c>
      <c r="X12" s="6">
        <f t="shared" si="5"/>
        <v>757.55637586947796</v>
      </c>
    </row>
    <row r="13" spans="1:24" x14ac:dyDescent="0.2">
      <c r="B13" s="3" t="s">
        <v>10</v>
      </c>
      <c r="C13" s="3">
        <v>84.3</v>
      </c>
      <c r="G13" s="3">
        <v>90.8</v>
      </c>
      <c r="H13" s="3">
        <f>G13</f>
        <v>90.8</v>
      </c>
      <c r="I13" s="3">
        <f t="shared" ref="I13:J13" si="6">H13</f>
        <v>90.8</v>
      </c>
      <c r="J13" s="3">
        <f t="shared" si="6"/>
        <v>90.8</v>
      </c>
      <c r="L13" s="3">
        <v>315</v>
      </c>
      <c r="M13" s="3">
        <v>379.7</v>
      </c>
      <c r="N13" s="3">
        <v>348.2</v>
      </c>
      <c r="O13" s="3">
        <f>SUM(G13:J13)</f>
        <v>363.2</v>
      </c>
      <c r="P13" s="3">
        <f>O13*1.02</f>
        <v>370.464</v>
      </c>
      <c r="Q13" s="3">
        <f t="shared" ref="Q13:X13" si="7">P13*1.02</f>
        <v>377.87328000000002</v>
      </c>
      <c r="R13" s="3">
        <f t="shared" si="7"/>
        <v>385.43074560000002</v>
      </c>
      <c r="S13" s="3">
        <f t="shared" si="7"/>
        <v>393.13936051200005</v>
      </c>
      <c r="T13" s="3">
        <f t="shared" si="7"/>
        <v>401.00214772224007</v>
      </c>
      <c r="U13" s="3">
        <f t="shared" si="7"/>
        <v>409.02219067668489</v>
      </c>
      <c r="V13" s="3">
        <f t="shared" si="7"/>
        <v>417.2026344902186</v>
      </c>
      <c r="W13" s="3">
        <f t="shared" si="7"/>
        <v>425.54668718002296</v>
      </c>
      <c r="X13" s="3">
        <f t="shared" si="7"/>
        <v>434.0576209236234</v>
      </c>
    </row>
    <row r="14" spans="1:24" x14ac:dyDescent="0.2">
      <c r="B14" s="3" t="s">
        <v>11</v>
      </c>
      <c r="C14" s="3">
        <v>24.3</v>
      </c>
      <c r="G14" s="3">
        <v>26.6</v>
      </c>
      <c r="H14" s="3">
        <f>G14</f>
        <v>26.6</v>
      </c>
      <c r="I14" s="3">
        <f t="shared" ref="I14:J14" si="8">H14</f>
        <v>26.6</v>
      </c>
      <c r="J14" s="3">
        <f t="shared" si="8"/>
        <v>26.6</v>
      </c>
      <c r="L14" s="3">
        <v>79.599999999999994</v>
      </c>
      <c r="M14" s="3">
        <v>100.3</v>
      </c>
      <c r="N14" s="3">
        <v>165.4</v>
      </c>
      <c r="O14" s="3">
        <f>SUM(G14:J14)</f>
        <v>106.4</v>
      </c>
      <c r="P14" s="3">
        <f>O14*1.02</f>
        <v>108.52800000000001</v>
      </c>
      <c r="Q14" s="3">
        <f t="shared" ref="Q14:X14" si="9">P14*1.02</f>
        <v>110.69856000000001</v>
      </c>
      <c r="R14" s="3">
        <f t="shared" si="9"/>
        <v>112.91253120000002</v>
      </c>
      <c r="S14" s="3">
        <f t="shared" si="9"/>
        <v>115.17078182400002</v>
      </c>
      <c r="T14" s="3">
        <f t="shared" si="9"/>
        <v>117.47419746048001</v>
      </c>
      <c r="U14" s="3">
        <f t="shared" si="9"/>
        <v>119.82368140968961</v>
      </c>
      <c r="V14" s="3">
        <f t="shared" si="9"/>
        <v>122.2201550378834</v>
      </c>
      <c r="W14" s="3">
        <f t="shared" si="9"/>
        <v>124.66455813864107</v>
      </c>
      <c r="X14" s="3">
        <f t="shared" si="9"/>
        <v>127.15784930141389</v>
      </c>
    </row>
    <row r="15" spans="1:24" x14ac:dyDescent="0.2">
      <c r="B15" s="3" t="s">
        <v>12</v>
      </c>
      <c r="C15" s="3">
        <f>SUM(C13:C14)</f>
        <v>108.6</v>
      </c>
      <c r="G15" s="3">
        <f>SUM(G13:G14)</f>
        <v>117.4</v>
      </c>
      <c r="H15" s="3">
        <f t="shared" ref="H15:N15" si="10">SUM(H13:H14)</f>
        <v>117.4</v>
      </c>
      <c r="I15" s="3">
        <f t="shared" si="10"/>
        <v>117.4</v>
      </c>
      <c r="J15" s="3">
        <f t="shared" si="10"/>
        <v>117.4</v>
      </c>
      <c r="L15" s="3">
        <f t="shared" si="10"/>
        <v>394.6</v>
      </c>
      <c r="M15" s="3">
        <f t="shared" si="10"/>
        <v>480</v>
      </c>
      <c r="N15" s="3">
        <f t="shared" si="10"/>
        <v>513.6</v>
      </c>
      <c r="O15" s="3">
        <f t="shared" ref="O15" si="11">SUM(O13:O14)</f>
        <v>469.6</v>
      </c>
      <c r="P15" s="3">
        <f t="shared" ref="P15" si="12">SUM(P13:P14)</f>
        <v>478.99200000000002</v>
      </c>
      <c r="Q15" s="3">
        <f t="shared" ref="Q15" si="13">SUM(Q13:Q14)</f>
        <v>488.57184000000007</v>
      </c>
      <c r="R15" s="3">
        <f t="shared" ref="R15" si="14">SUM(R13:R14)</f>
        <v>498.34327680000001</v>
      </c>
      <c r="S15" s="3">
        <f t="shared" ref="S15" si="15">SUM(S13:S14)</f>
        <v>508.31014233600007</v>
      </c>
      <c r="T15" s="3">
        <f t="shared" ref="T15" si="16">SUM(T13:T14)</f>
        <v>518.47634518272002</v>
      </c>
      <c r="U15" s="3">
        <f t="shared" ref="U15" si="17">SUM(U13:U14)</f>
        <v>528.84587208637447</v>
      </c>
      <c r="V15" s="3">
        <f t="shared" ref="V15" si="18">SUM(V13:V14)</f>
        <v>539.42278952810204</v>
      </c>
      <c r="W15" s="3">
        <f t="shared" ref="W15" si="19">SUM(W13:W14)</f>
        <v>550.21124531866406</v>
      </c>
      <c r="X15" s="3">
        <f t="shared" ref="X15" si="20">SUM(X13:X14)</f>
        <v>561.21547022503728</v>
      </c>
    </row>
    <row r="16" spans="1:24" x14ac:dyDescent="0.2">
      <c r="B16" s="3" t="s">
        <v>13</v>
      </c>
      <c r="C16" s="3">
        <f>C12-C15</f>
        <v>-83.3</v>
      </c>
      <c r="G16" s="3">
        <f>G12-G15</f>
        <v>71.400000000000006</v>
      </c>
      <c r="H16" s="3">
        <f t="shared" ref="H16:N16" si="21">H12-H15</f>
        <v>-92.4</v>
      </c>
      <c r="I16" s="3">
        <f t="shared" si="21"/>
        <v>-92.15</v>
      </c>
      <c r="J16" s="3">
        <f t="shared" si="21"/>
        <v>-91.897500000000008</v>
      </c>
      <c r="L16" s="3">
        <f t="shared" si="21"/>
        <v>-263.20000000000005</v>
      </c>
      <c r="M16" s="3">
        <f t="shared" si="21"/>
        <v>-401.5</v>
      </c>
      <c r="N16" s="3">
        <f t="shared" si="21"/>
        <v>-250.20000000000005</v>
      </c>
      <c r="O16" s="3">
        <f t="shared" ref="O16" si="22">O12-O15</f>
        <v>-205.04750000000001</v>
      </c>
      <c r="P16" s="3">
        <f t="shared" ref="P16" si="23">P12-P15</f>
        <v>-478.99200000000002</v>
      </c>
      <c r="Q16" s="3">
        <f t="shared" ref="Q16" si="24">Q12-Q15</f>
        <v>-74.162560000000042</v>
      </c>
      <c r="R16" s="3">
        <f t="shared" ref="R16" si="25">R12-R15</f>
        <v>-1.4665500799999336</v>
      </c>
      <c r="S16" s="3">
        <f t="shared" ref="S16" si="26">S12-S15</f>
        <v>-15.95047676799993</v>
      </c>
      <c r="T16" s="3">
        <f t="shared" ref="T16" si="27">T12-T15</f>
        <v>18.195690286400122</v>
      </c>
      <c r="U16" s="3">
        <f t="shared" ref="U16" si="28">U12-U15</f>
        <v>56.126646574966571</v>
      </c>
      <c r="V16" s="3">
        <f t="shared" ref="V16" si="29">V12-V15</f>
        <v>98.197255812759749</v>
      </c>
      <c r="W16" s="3">
        <f t="shared" ref="W16" si="30">W12-W15</f>
        <v>144.79460410287527</v>
      </c>
      <c r="X16" s="3">
        <f t="shared" ref="X16" si="31">X12-X15</f>
        <v>196.34090564444068</v>
      </c>
    </row>
    <row r="17" spans="1:113" x14ac:dyDescent="0.2">
      <c r="B17" s="3" t="s">
        <v>14</v>
      </c>
      <c r="C17" s="3">
        <v>14</v>
      </c>
      <c r="G17" s="3">
        <v>11.7</v>
      </c>
      <c r="H17" s="3">
        <f>G29*$AA$25/4</f>
        <v>12.4095</v>
      </c>
      <c r="I17" s="3">
        <f t="shared" ref="I17:J17" si="32">H29*$AA$25/4</f>
        <v>11.209642499999999</v>
      </c>
      <c r="J17" s="3">
        <f t="shared" si="32"/>
        <v>9.9955371374999995</v>
      </c>
      <c r="L17" s="3">
        <v>12</v>
      </c>
      <c r="M17" s="3">
        <v>38.799999999999997</v>
      </c>
      <c r="N17" s="3">
        <v>54.8</v>
      </c>
      <c r="O17" s="3">
        <f>SUM(G17:J17)</f>
        <v>45.314679637499999</v>
      </c>
      <c r="P17" s="3">
        <f t="shared" ref="P17:X17" si="33">O29*$AA$25</f>
        <v>35.068030778249998</v>
      </c>
      <c r="Q17" s="3">
        <f t="shared" si="33"/>
        <v>9.7643645326102426</v>
      </c>
      <c r="R17" s="3">
        <f t="shared" si="33"/>
        <v>6.0936673909690251</v>
      </c>
      <c r="S17" s="3">
        <f t="shared" si="33"/>
        <v>6.3435317257613555</v>
      </c>
      <c r="T17" s="3">
        <f t="shared" si="33"/>
        <v>5.8247566934804729</v>
      </c>
      <c r="U17" s="3">
        <f t="shared" si="33"/>
        <v>7.1218608303940245</v>
      </c>
      <c r="V17" s="3">
        <f t="shared" si="33"/>
        <v>10.537280230283496</v>
      </c>
      <c r="W17" s="3">
        <f t="shared" si="33"/>
        <v>16.40894517660783</v>
      </c>
      <c r="X17" s="3">
        <f t="shared" si="33"/>
        <v>25.113936837699921</v>
      </c>
    </row>
    <row r="18" spans="1:113" x14ac:dyDescent="0.2">
      <c r="B18" s="3" t="s">
        <v>15</v>
      </c>
      <c r="C18" s="3">
        <f>C16+C17</f>
        <v>-69.3</v>
      </c>
      <c r="G18" s="3">
        <f>G16+G17</f>
        <v>83.100000000000009</v>
      </c>
      <c r="H18" s="3">
        <f t="shared" ref="H18:N18" si="34">H16+H17</f>
        <v>-79.990500000000011</v>
      </c>
      <c r="I18" s="3">
        <f t="shared" si="34"/>
        <v>-80.940357500000005</v>
      </c>
      <c r="J18" s="3">
        <f t="shared" si="34"/>
        <v>-81.901962862500014</v>
      </c>
      <c r="L18" s="3">
        <f t="shared" si="34"/>
        <v>-251.20000000000005</v>
      </c>
      <c r="M18" s="3">
        <f t="shared" si="34"/>
        <v>-362.7</v>
      </c>
      <c r="N18" s="3">
        <f t="shared" si="34"/>
        <v>-195.40000000000003</v>
      </c>
      <c r="O18" s="3">
        <f t="shared" ref="O18" si="35">O16+O17</f>
        <v>-159.73282036250001</v>
      </c>
      <c r="P18" s="3">
        <f t="shared" ref="P18" si="36">P16+P17</f>
        <v>-443.92396922175004</v>
      </c>
      <c r="Q18" s="3">
        <f t="shared" ref="Q18" si="37">Q16+Q17</f>
        <v>-64.398195467389797</v>
      </c>
      <c r="R18" s="3">
        <f t="shared" ref="R18" si="38">R16+R17</f>
        <v>4.6271173109690915</v>
      </c>
      <c r="S18" s="3">
        <f t="shared" ref="S18" si="39">S16+S17</f>
        <v>-9.6069450422385749</v>
      </c>
      <c r="T18" s="3">
        <f t="shared" ref="T18" si="40">T16+T17</f>
        <v>24.020446979880596</v>
      </c>
      <c r="U18" s="3">
        <f t="shared" ref="U18" si="41">U16+U17</f>
        <v>63.248507405360598</v>
      </c>
      <c r="V18" s="3">
        <f t="shared" ref="V18" si="42">V16+V17</f>
        <v>108.73453604304325</v>
      </c>
      <c r="W18" s="3">
        <f t="shared" ref="W18" si="43">W16+W17</f>
        <v>161.2035492794831</v>
      </c>
      <c r="X18" s="3">
        <f t="shared" ref="X18" si="44">X16+X17</f>
        <v>221.45484248214061</v>
      </c>
    </row>
    <row r="19" spans="1:113" x14ac:dyDescent="0.2">
      <c r="B19" s="3" t="s">
        <v>16</v>
      </c>
      <c r="C19" s="3">
        <v>0.1</v>
      </c>
      <c r="G19" s="3">
        <v>0.2</v>
      </c>
      <c r="H19" s="3">
        <f>H18*H25</f>
        <v>0</v>
      </c>
      <c r="I19" s="3">
        <f t="shared" ref="I19:J19" si="45">I18*I25</f>
        <v>0</v>
      </c>
      <c r="J19" s="3">
        <f t="shared" si="45"/>
        <v>0</v>
      </c>
      <c r="L19" s="3">
        <v>20.9</v>
      </c>
      <c r="M19" s="3">
        <v>0.9</v>
      </c>
      <c r="N19" s="3">
        <v>0.6</v>
      </c>
      <c r="O19" s="3">
        <f>SUM(G19:J19)</f>
        <v>0.2</v>
      </c>
      <c r="P19" s="3">
        <f>P18*P25</f>
        <v>-22.196198461087505</v>
      </c>
      <c r="Q19" s="3">
        <f t="shared" ref="Q19:S19" si="46">Q18*Q25</f>
        <v>-3.2199097733694901</v>
      </c>
      <c r="R19" s="3">
        <f t="shared" si="46"/>
        <v>0.46271173109690916</v>
      </c>
      <c r="S19" s="3">
        <f t="shared" si="46"/>
        <v>-0.96069450422385749</v>
      </c>
      <c r="T19" s="3">
        <f t="shared" ref="T19" si="47">T18*T25</f>
        <v>2.4020446979880599</v>
      </c>
      <c r="U19" s="3">
        <f t="shared" ref="U19" si="48">U18*U25</f>
        <v>6.3248507405360606</v>
      </c>
      <c r="V19" s="3">
        <f t="shared" ref="V19" si="49">V18*V25</f>
        <v>10.873453604304325</v>
      </c>
      <c r="W19" s="3">
        <f t="shared" ref="W19" si="50">W18*W25</f>
        <v>16.120354927948309</v>
      </c>
      <c r="X19" s="3">
        <f t="shared" ref="X19" si="51">X18*X25</f>
        <v>22.145484248214061</v>
      </c>
    </row>
    <row r="20" spans="1:113" s="6" customFormat="1" ht="15" x14ac:dyDescent="0.25">
      <c r="A20" s="3"/>
      <c r="B20" s="6" t="s">
        <v>17</v>
      </c>
      <c r="C20" s="6">
        <f>C18-C19</f>
        <v>-69.399999999999991</v>
      </c>
      <c r="G20" s="6">
        <f>G18-G19</f>
        <v>82.9</v>
      </c>
      <c r="H20" s="6">
        <f t="shared" ref="H20:N20" si="52">H18-H19</f>
        <v>-79.990500000000011</v>
      </c>
      <c r="I20" s="6">
        <f t="shared" si="52"/>
        <v>-80.940357500000005</v>
      </c>
      <c r="J20" s="6">
        <f t="shared" si="52"/>
        <v>-81.901962862500014</v>
      </c>
      <c r="L20" s="6">
        <f t="shared" si="52"/>
        <v>-272.10000000000002</v>
      </c>
      <c r="M20" s="6">
        <f t="shared" si="52"/>
        <v>-363.59999999999997</v>
      </c>
      <c r="N20" s="6">
        <f t="shared" si="52"/>
        <v>-196.00000000000003</v>
      </c>
      <c r="O20" s="6">
        <f t="shared" ref="O20" si="53">O18-O19</f>
        <v>-159.9328203625</v>
      </c>
      <c r="P20" s="6">
        <f t="shared" ref="P20" si="54">P18-P19</f>
        <v>-421.72777076066257</v>
      </c>
      <c r="Q20" s="6">
        <f t="shared" ref="Q20" si="55">Q18-Q19</f>
        <v>-61.17828569402031</v>
      </c>
      <c r="R20" s="6">
        <f t="shared" ref="R20" si="56">R18-R19</f>
        <v>4.1644055798721826</v>
      </c>
      <c r="S20" s="6">
        <f t="shared" ref="S20" si="57">S18-S19</f>
        <v>-8.6462505380147174</v>
      </c>
      <c r="T20" s="6">
        <f t="shared" ref="T20" si="58">T18-T19</f>
        <v>21.618402281892536</v>
      </c>
      <c r="U20" s="6">
        <f t="shared" ref="U20" si="59">U18-U19</f>
        <v>56.923656664824534</v>
      </c>
      <c r="V20" s="6">
        <f t="shared" ref="V20" si="60">V18-V19</f>
        <v>97.861082438738919</v>
      </c>
      <c r="W20" s="6">
        <f t="shared" ref="W20" si="61">W18-W19</f>
        <v>145.08319435153479</v>
      </c>
      <c r="X20" s="6">
        <f t="shared" ref="X20" si="62">X18-X19</f>
        <v>199.30935823392656</v>
      </c>
      <c r="Y20" s="6">
        <f t="shared" ref="Y20:BD20" si="63">X20*(1+$AA$26)</f>
        <v>197.31626465158729</v>
      </c>
      <c r="Z20" s="6">
        <f t="shared" si="63"/>
        <v>195.34310200507142</v>
      </c>
      <c r="AA20" s="6">
        <f t="shared" si="63"/>
        <v>193.3896709850207</v>
      </c>
      <c r="AB20" s="6">
        <f t="shared" si="63"/>
        <v>191.45577427517048</v>
      </c>
      <c r="AC20" s="6">
        <f t="shared" si="63"/>
        <v>189.54121653241879</v>
      </c>
      <c r="AD20" s="6">
        <f t="shared" si="63"/>
        <v>187.6458043670946</v>
      </c>
      <c r="AE20" s="6">
        <f t="shared" si="63"/>
        <v>185.76934632342366</v>
      </c>
      <c r="AF20" s="6">
        <f t="shared" si="63"/>
        <v>183.91165286018943</v>
      </c>
      <c r="AG20" s="6">
        <f t="shared" si="63"/>
        <v>182.07253633158754</v>
      </c>
      <c r="AH20" s="6">
        <f t="shared" si="63"/>
        <v>180.25181096827166</v>
      </c>
      <c r="AI20" s="6">
        <f t="shared" si="63"/>
        <v>178.44929285858893</v>
      </c>
      <c r="AJ20" s="6">
        <f t="shared" si="63"/>
        <v>176.66479993000306</v>
      </c>
      <c r="AK20" s="6">
        <f t="shared" si="63"/>
        <v>174.89815193070302</v>
      </c>
      <c r="AL20" s="6">
        <f t="shared" si="63"/>
        <v>173.149170411396</v>
      </c>
      <c r="AM20" s="6">
        <f t="shared" si="63"/>
        <v>171.41767870728205</v>
      </c>
      <c r="AN20" s="6">
        <f t="shared" si="63"/>
        <v>169.70350192020922</v>
      </c>
      <c r="AO20" s="6">
        <f t="shared" si="63"/>
        <v>168.00646690100712</v>
      </c>
      <c r="AP20" s="6">
        <f t="shared" si="63"/>
        <v>166.32640223199704</v>
      </c>
      <c r="AQ20" s="6">
        <f t="shared" si="63"/>
        <v>164.66313820967707</v>
      </c>
      <c r="AR20" s="6">
        <f t="shared" si="63"/>
        <v>163.01650682758029</v>
      </c>
      <c r="AS20" s="6">
        <f t="shared" si="63"/>
        <v>161.38634175930449</v>
      </c>
      <c r="AT20" s="6">
        <f t="shared" si="63"/>
        <v>159.77247834171143</v>
      </c>
      <c r="AU20" s="6">
        <f t="shared" si="63"/>
        <v>158.17475355829433</v>
      </c>
      <c r="AV20" s="6">
        <f t="shared" si="63"/>
        <v>156.59300602271139</v>
      </c>
      <c r="AW20" s="6">
        <f t="shared" si="63"/>
        <v>155.02707596248428</v>
      </c>
      <c r="AX20" s="6">
        <f t="shared" si="63"/>
        <v>153.47680520285942</v>
      </c>
      <c r="AY20" s="6">
        <f t="shared" si="63"/>
        <v>151.94203715083083</v>
      </c>
      <c r="AZ20" s="6">
        <f t="shared" si="63"/>
        <v>150.42261677932251</v>
      </c>
      <c r="BA20" s="6">
        <f t="shared" si="63"/>
        <v>148.91839061152928</v>
      </c>
      <c r="BB20" s="6">
        <f t="shared" si="63"/>
        <v>147.42920670541397</v>
      </c>
      <c r="BC20" s="6">
        <f t="shared" si="63"/>
        <v>145.95491463835984</v>
      </c>
      <c r="BD20" s="6">
        <f t="shared" si="63"/>
        <v>144.49536549197623</v>
      </c>
      <c r="BE20" s="6">
        <f t="shared" ref="BE20:CJ20" si="64">BD20*(1+$AA$26)</f>
        <v>143.05041183705646</v>
      </c>
      <c r="BF20" s="6">
        <f t="shared" si="64"/>
        <v>141.61990771868588</v>
      </c>
      <c r="BG20" s="6">
        <f t="shared" si="64"/>
        <v>140.20370864149902</v>
      </c>
      <c r="BH20" s="6">
        <f t="shared" si="64"/>
        <v>138.80167155508403</v>
      </c>
      <c r="BI20" s="6">
        <f t="shared" si="64"/>
        <v>137.41365483953319</v>
      </c>
      <c r="BJ20" s="6">
        <f t="shared" si="64"/>
        <v>136.03951829113785</v>
      </c>
      <c r="BK20" s="6">
        <f t="shared" si="64"/>
        <v>134.67912310822646</v>
      </c>
      <c r="BL20" s="6">
        <f t="shared" si="64"/>
        <v>133.33233187714418</v>
      </c>
      <c r="BM20" s="6">
        <f t="shared" si="64"/>
        <v>131.99900855837274</v>
      </c>
      <c r="BN20" s="6">
        <f t="shared" si="64"/>
        <v>130.67901847278901</v>
      </c>
      <c r="BO20" s="6">
        <f t="shared" si="64"/>
        <v>129.37222828806111</v>
      </c>
      <c r="BP20" s="6">
        <f t="shared" si="64"/>
        <v>128.07850600518049</v>
      </c>
      <c r="BQ20" s="6">
        <f t="shared" si="64"/>
        <v>126.79772094512867</v>
      </c>
      <c r="BR20" s="6">
        <f t="shared" si="64"/>
        <v>125.52974373567739</v>
      </c>
      <c r="BS20" s="6">
        <f t="shared" si="64"/>
        <v>124.27444629832061</v>
      </c>
      <c r="BT20" s="6">
        <f t="shared" si="64"/>
        <v>123.0317018353374</v>
      </c>
      <c r="BU20" s="6">
        <f t="shared" si="64"/>
        <v>121.80138481698403</v>
      </c>
      <c r="BV20" s="6">
        <f t="shared" si="64"/>
        <v>120.58337096881418</v>
      </c>
      <c r="BW20" s="6">
        <f t="shared" si="64"/>
        <v>119.37753725912604</v>
      </c>
      <c r="BX20" s="6">
        <f t="shared" si="64"/>
        <v>118.18376188653478</v>
      </c>
      <c r="BY20" s="6">
        <f t="shared" si="64"/>
        <v>117.00192426766944</v>
      </c>
      <c r="BZ20" s="6">
        <f t="shared" si="64"/>
        <v>115.83190502499274</v>
      </c>
      <c r="CA20" s="6">
        <f t="shared" si="64"/>
        <v>114.67358597474281</v>
      </c>
      <c r="CB20" s="6">
        <f t="shared" si="64"/>
        <v>113.52685011499538</v>
      </c>
      <c r="CC20" s="6">
        <f t="shared" si="64"/>
        <v>112.39158161384543</v>
      </c>
      <c r="CD20" s="6">
        <f t="shared" si="64"/>
        <v>111.26766579770698</v>
      </c>
      <c r="CE20" s="6">
        <f t="shared" si="64"/>
        <v>110.15498913972991</v>
      </c>
      <c r="CF20" s="6">
        <f t="shared" si="64"/>
        <v>109.05343924833261</v>
      </c>
      <c r="CG20" s="6">
        <f t="shared" si="64"/>
        <v>107.96290485584929</v>
      </c>
      <c r="CH20" s="6">
        <f t="shared" si="64"/>
        <v>106.8832758072908</v>
      </c>
      <c r="CI20" s="6">
        <f t="shared" si="64"/>
        <v>105.81444304921789</v>
      </c>
      <c r="CJ20" s="6">
        <f t="shared" si="64"/>
        <v>104.75629861872571</v>
      </c>
      <c r="CK20" s="6">
        <f t="shared" ref="CK20:DI20" si="65">CJ20*(1+$AA$26)</f>
        <v>103.70873563253845</v>
      </c>
      <c r="CL20" s="6">
        <f t="shared" si="65"/>
        <v>102.67164827621306</v>
      </c>
      <c r="CM20" s="6">
        <f t="shared" si="65"/>
        <v>101.64493179345094</v>
      </c>
      <c r="CN20" s="6">
        <f t="shared" si="65"/>
        <v>100.62848247551642</v>
      </c>
      <c r="CO20" s="6">
        <f t="shared" si="65"/>
        <v>99.622197650761251</v>
      </c>
      <c r="CP20" s="6">
        <f t="shared" si="65"/>
        <v>98.625975674253638</v>
      </c>
      <c r="CQ20" s="6">
        <f t="shared" si="65"/>
        <v>97.639715917511097</v>
      </c>
      <c r="CR20" s="6">
        <f t="shared" si="65"/>
        <v>96.66331875833599</v>
      </c>
      <c r="CS20" s="6">
        <f t="shared" si="65"/>
        <v>95.696685570752635</v>
      </c>
      <c r="CT20" s="6">
        <f t="shared" si="65"/>
        <v>94.739718715045115</v>
      </c>
      <c r="CU20" s="6">
        <f t="shared" si="65"/>
        <v>93.792321527894657</v>
      </c>
      <c r="CV20" s="6">
        <f t="shared" si="65"/>
        <v>92.854398312615714</v>
      </c>
      <c r="CW20" s="6">
        <f t="shared" si="65"/>
        <v>91.925854329489553</v>
      </c>
      <c r="CX20" s="6">
        <f t="shared" si="65"/>
        <v>91.006595786194652</v>
      </c>
      <c r="CY20" s="6">
        <f t="shared" si="65"/>
        <v>90.096529828332706</v>
      </c>
      <c r="CZ20" s="6">
        <f t="shared" si="65"/>
        <v>89.195564530049381</v>
      </c>
      <c r="DA20" s="6">
        <f t="shared" si="65"/>
        <v>88.303608884748883</v>
      </c>
      <c r="DB20" s="6">
        <f t="shared" si="65"/>
        <v>87.420572795901393</v>
      </c>
      <c r="DC20" s="6">
        <f t="shared" si="65"/>
        <v>86.546367067942384</v>
      </c>
      <c r="DD20" s="6">
        <f t="shared" si="65"/>
        <v>85.680903397262966</v>
      </c>
      <c r="DE20" s="6">
        <f t="shared" si="65"/>
        <v>84.824094363290342</v>
      </c>
      <c r="DF20" s="6">
        <f t="shared" si="65"/>
        <v>83.97585341965744</v>
      </c>
      <c r="DG20" s="6">
        <f t="shared" si="65"/>
        <v>83.136094885460864</v>
      </c>
      <c r="DH20" s="6">
        <f t="shared" si="65"/>
        <v>82.304733936606254</v>
      </c>
      <c r="DI20" s="6">
        <f t="shared" si="65"/>
        <v>81.481686597240184</v>
      </c>
    </row>
    <row r="21" spans="1:113" x14ac:dyDescent="0.2">
      <c r="B21" s="3" t="s">
        <v>2</v>
      </c>
      <c r="C21" s="3">
        <v>71.7</v>
      </c>
      <c r="G21" s="3">
        <v>72.7</v>
      </c>
      <c r="H21" s="3">
        <f>G21*1.02</f>
        <v>74.154000000000011</v>
      </c>
      <c r="I21" s="3">
        <f t="shared" ref="I21:J21" si="66">H21*1.02</f>
        <v>75.637080000000012</v>
      </c>
      <c r="J21" s="3">
        <f t="shared" si="66"/>
        <v>77.14982160000001</v>
      </c>
      <c r="L21" s="3">
        <v>53.2</v>
      </c>
      <c r="M21" s="3">
        <v>55.5</v>
      </c>
      <c r="N21" s="3">
        <v>71.900000000000006</v>
      </c>
      <c r="O21" s="3">
        <f>J21</f>
        <v>77.14982160000001</v>
      </c>
      <c r="P21" s="3">
        <f>O21*1.03</f>
        <v>79.464316248000017</v>
      </c>
      <c r="Q21" s="3">
        <f t="shared" ref="Q21:X21" si="67">P21*1.03</f>
        <v>81.848245735440017</v>
      </c>
      <c r="R21" s="3">
        <f t="shared" si="67"/>
        <v>84.303693107503221</v>
      </c>
      <c r="S21" s="3">
        <f t="shared" si="67"/>
        <v>86.832803900728322</v>
      </c>
      <c r="T21" s="3">
        <f t="shared" si="67"/>
        <v>89.437788017750179</v>
      </c>
      <c r="U21" s="3">
        <f t="shared" si="67"/>
        <v>92.120921658282683</v>
      </c>
      <c r="V21" s="3">
        <f t="shared" si="67"/>
        <v>94.884549308031168</v>
      </c>
      <c r="W21" s="3">
        <f t="shared" si="67"/>
        <v>97.731085787272107</v>
      </c>
      <c r="X21" s="3">
        <f t="shared" si="67"/>
        <v>100.66301836089028</v>
      </c>
    </row>
    <row r="22" spans="1:113" x14ac:dyDescent="0.2">
      <c r="B22" s="3" t="s">
        <v>18</v>
      </c>
      <c r="C22" s="2">
        <f>C20/C21</f>
        <v>-0.96792189679218954</v>
      </c>
      <c r="G22" s="2">
        <f>G20/G21</f>
        <v>1.1403026134800551</v>
      </c>
      <c r="H22" s="2">
        <f t="shared" ref="H22:N22" si="68">H20/H21</f>
        <v>-1.078707824257626</v>
      </c>
      <c r="I22" s="2">
        <f t="shared" si="68"/>
        <v>-1.0701147836484433</v>
      </c>
      <c r="J22" s="2">
        <f t="shared" si="68"/>
        <v>-1.0615962702692756</v>
      </c>
      <c r="K22" s="2"/>
      <c r="L22" s="2">
        <f t="shared" si="68"/>
        <v>-5.1146616541353387</v>
      </c>
      <c r="M22" s="2">
        <f t="shared" si="68"/>
        <v>-6.551351351351351</v>
      </c>
      <c r="N22" s="2">
        <f t="shared" si="68"/>
        <v>-2.7260083449235051</v>
      </c>
      <c r="O22" s="2">
        <f t="shared" ref="O22" si="69">O20/O21</f>
        <v>-2.0730160750300421</v>
      </c>
      <c r="P22" s="2">
        <f t="shared" ref="P22" si="70">P20/P21</f>
        <v>-5.3071339523578516</v>
      </c>
      <c r="Q22" s="2">
        <f t="shared" ref="Q22" si="71">Q20/Q21</f>
        <v>-0.74745995035456592</v>
      </c>
      <c r="R22" s="2">
        <f t="shared" ref="R22" si="72">R20/R21</f>
        <v>4.939766487527153E-2</v>
      </c>
      <c r="S22" s="2">
        <f t="shared" ref="S22" si="73">S20/S21</f>
        <v>-9.9573549967355082E-2</v>
      </c>
      <c r="T22" s="2">
        <f t="shared" ref="T22" si="74">T20/T21</f>
        <v>0.24171441133586691</v>
      </c>
      <c r="U22" s="2">
        <f t="shared" ref="U22" si="75">U20/U21</f>
        <v>0.6179232213500816</v>
      </c>
      <c r="V22" s="2">
        <f t="shared" ref="V22" si="76">V20/V21</f>
        <v>1.0313700507871393</v>
      </c>
      <c r="W22" s="2">
        <f t="shared" ref="W22" si="77">W20/W21</f>
        <v>1.4845142994454434</v>
      </c>
      <c r="X22" s="2">
        <f t="shared" ref="X22" si="78">X20/X21</f>
        <v>1.979966043928626</v>
      </c>
    </row>
    <row r="24" spans="1:113" s="6" customFormat="1" ht="15" x14ac:dyDescent="0.25">
      <c r="A24" s="3"/>
      <c r="B24" s="6" t="s">
        <v>19</v>
      </c>
      <c r="G24" s="7">
        <f>G12/C12-1</f>
        <v>6.4624505928853759</v>
      </c>
      <c r="H24" s="7" t="e">
        <f t="shared" ref="H24:J24" si="79">H12/D12-1</f>
        <v>#DIV/0!</v>
      </c>
      <c r="I24" s="7" t="e">
        <f t="shared" si="79"/>
        <v>#DIV/0!</v>
      </c>
      <c r="J24" s="7" t="e">
        <f t="shared" si="79"/>
        <v>#DIV/0!</v>
      </c>
      <c r="K24" s="7"/>
      <c r="L24" s="7"/>
      <c r="M24" s="7">
        <f>M12/L12-1</f>
        <v>-0.4025875190258752</v>
      </c>
      <c r="N24" s="7">
        <f>N12/M12-1</f>
        <v>2.3554140127388532</v>
      </c>
      <c r="O24" s="7">
        <f>O12/N12-1</f>
        <v>4.3754745634017045E-3</v>
      </c>
      <c r="P24" s="7">
        <f>P12/O12-1</f>
        <v>-1</v>
      </c>
      <c r="Q24" s="7" t="e">
        <f>Q12/P12-1</f>
        <v>#DIV/0!</v>
      </c>
      <c r="R24" s="7">
        <f t="shared" ref="R24:S24" si="80">R12/Q12-1</f>
        <v>0.19900000000000007</v>
      </c>
      <c r="S24" s="7">
        <f t="shared" si="80"/>
        <v>-9.0909090909089274E-3</v>
      </c>
      <c r="T24" s="7">
        <f t="shared" ref="T24:X24" si="81">T12/S12-1</f>
        <v>9.000000000000008E-2</v>
      </c>
      <c r="U24" s="7">
        <f t="shared" si="81"/>
        <v>9.000000000000008E-2</v>
      </c>
      <c r="V24" s="7">
        <f t="shared" si="81"/>
        <v>9.000000000000008E-2</v>
      </c>
      <c r="W24" s="7">
        <f t="shared" si="81"/>
        <v>8.9999999999999858E-2</v>
      </c>
      <c r="X24" s="7">
        <f t="shared" si="81"/>
        <v>9.000000000000008E-2</v>
      </c>
    </row>
    <row r="25" spans="1:113" s="6" customFormat="1" ht="15" x14ac:dyDescent="0.25">
      <c r="A25" s="3"/>
      <c r="B25" s="3" t="s">
        <v>39</v>
      </c>
      <c r="G25" s="8">
        <f t="shared" ref="G25" si="82">G19/G18</f>
        <v>2.4067388688327317E-3</v>
      </c>
      <c r="H25" s="8">
        <v>0</v>
      </c>
      <c r="I25" s="8">
        <v>0</v>
      </c>
      <c r="J25" s="8">
        <v>0</v>
      </c>
      <c r="K25" s="7"/>
      <c r="L25" s="8">
        <f>L19/L18</f>
        <v>-8.3200636942675141E-2</v>
      </c>
      <c r="M25" s="8">
        <f t="shared" ref="M25:O25" si="83">M19/M18</f>
        <v>-2.4813895781637717E-3</v>
      </c>
      <c r="N25" s="8">
        <f t="shared" si="83"/>
        <v>-3.070624360286591E-3</v>
      </c>
      <c r="O25" s="8">
        <f t="shared" si="83"/>
        <v>-1.2520908323418885E-3</v>
      </c>
      <c r="P25" s="8">
        <v>0.05</v>
      </c>
      <c r="Q25" s="8">
        <v>0.05</v>
      </c>
      <c r="R25" s="8">
        <v>0.1</v>
      </c>
      <c r="S25" s="8">
        <v>0.1</v>
      </c>
      <c r="T25" s="8">
        <v>0.1</v>
      </c>
      <c r="U25" s="8">
        <v>0.1</v>
      </c>
      <c r="V25" s="8">
        <v>0.1</v>
      </c>
      <c r="W25" s="8">
        <v>0.1</v>
      </c>
      <c r="X25" s="8">
        <v>0.1</v>
      </c>
      <c r="Z25" s="3" t="s">
        <v>34</v>
      </c>
      <c r="AA25" s="10">
        <v>0.06</v>
      </c>
    </row>
    <row r="26" spans="1:113" x14ac:dyDescent="0.2">
      <c r="Z26" s="3" t="s">
        <v>35</v>
      </c>
      <c r="AA26" s="10">
        <v>-0.01</v>
      </c>
    </row>
    <row r="27" spans="1:113" x14ac:dyDescent="0.2">
      <c r="B27" s="3" t="s">
        <v>29</v>
      </c>
      <c r="C27" s="8">
        <f>C16/C12</f>
        <v>-3.2924901185770747</v>
      </c>
      <c r="D27" s="8" t="e">
        <f t="shared" ref="D27:S27" si="84">D16/D12</f>
        <v>#DIV/0!</v>
      </c>
      <c r="E27" s="8" t="e">
        <f t="shared" si="84"/>
        <v>#DIV/0!</v>
      </c>
      <c r="F27" s="8" t="e">
        <f t="shared" si="84"/>
        <v>#DIV/0!</v>
      </c>
      <c r="G27" s="8">
        <f t="shared" si="84"/>
        <v>0.37817796610169491</v>
      </c>
      <c r="H27" s="8">
        <f t="shared" si="84"/>
        <v>-3.6960000000000002</v>
      </c>
      <c r="I27" s="8">
        <f t="shared" si="84"/>
        <v>-3.6495049504950496</v>
      </c>
      <c r="J27" s="8">
        <f t="shared" si="84"/>
        <v>-3.6034702480149008</v>
      </c>
      <c r="K27" s="8"/>
      <c r="L27" s="8">
        <f t="shared" si="84"/>
        <v>-2.0030441400304415</v>
      </c>
      <c r="M27" s="8">
        <f t="shared" si="84"/>
        <v>-5.1146496815286628</v>
      </c>
      <c r="N27" s="8">
        <f t="shared" si="84"/>
        <v>-0.94988610478359936</v>
      </c>
      <c r="O27" s="8">
        <f t="shared" si="84"/>
        <v>-0.77507300063314466</v>
      </c>
      <c r="P27" s="8" t="e">
        <f t="shared" si="84"/>
        <v>#DIV/0!</v>
      </c>
      <c r="Q27" s="8">
        <f t="shared" si="84"/>
        <v>-0.17895969897199224</v>
      </c>
      <c r="R27" s="8">
        <f t="shared" si="84"/>
        <v>-2.951537073754641E-3</v>
      </c>
      <c r="S27" s="8">
        <f t="shared" si="84"/>
        <v>-3.2395985868580453E-2</v>
      </c>
      <c r="T27" s="8">
        <f t="shared" ref="T27:X27" si="85">T16/T12</f>
        <v>3.3904673774355985E-2</v>
      </c>
      <c r="U27" s="8">
        <f t="shared" si="85"/>
        <v>9.5947492889764369E-2</v>
      </c>
      <c r="V27" s="8">
        <f t="shared" si="85"/>
        <v>0.15400591077757761</v>
      </c>
      <c r="W27" s="8">
        <f t="shared" si="85"/>
        <v>0.20833580641571484</v>
      </c>
      <c r="X27" s="8">
        <f t="shared" si="85"/>
        <v>0.25917662618718285</v>
      </c>
      <c r="Z27" s="3" t="s">
        <v>36</v>
      </c>
      <c r="AA27" s="10">
        <v>0.1</v>
      </c>
    </row>
    <row r="28" spans="1:113" ht="15" x14ac:dyDescent="0.25">
      <c r="Z28" s="6" t="s">
        <v>37</v>
      </c>
      <c r="AA28" s="6">
        <f>NPV(AA27,O20:XFD20)+Main!K6-Main!K7</f>
        <v>1201.8442661947506</v>
      </c>
    </row>
    <row r="29" spans="1:113" x14ac:dyDescent="0.2">
      <c r="B29" s="3" t="s">
        <v>30</v>
      </c>
      <c r="G29" s="3">
        <f>G31-G33</f>
        <v>827.3</v>
      </c>
      <c r="H29" s="3">
        <f>G29+H20</f>
        <v>747.30949999999996</v>
      </c>
      <c r="I29" s="3">
        <f t="shared" ref="I29:J29" si="86">H29+I20</f>
        <v>666.36914249999995</v>
      </c>
      <c r="J29" s="3">
        <f t="shared" si="86"/>
        <v>584.46717963749995</v>
      </c>
      <c r="L29" s="3">
        <f>L31-L33</f>
        <v>0</v>
      </c>
      <c r="M29" s="3">
        <f>M31-M33</f>
        <v>0</v>
      </c>
      <c r="N29" s="3">
        <f>N31-N33</f>
        <v>739.50000000000011</v>
      </c>
      <c r="O29" s="3">
        <f>J29</f>
        <v>584.46717963749995</v>
      </c>
      <c r="P29" s="3">
        <f>O29+P20</f>
        <v>162.73940887683739</v>
      </c>
      <c r="Q29" s="3">
        <f>P29+Q20</f>
        <v>101.56112318281708</v>
      </c>
      <c r="R29" s="3">
        <f>Q29+R20</f>
        <v>105.72552876268927</v>
      </c>
      <c r="S29" s="3">
        <f>R29+S20</f>
        <v>97.079278224674553</v>
      </c>
      <c r="T29" s="3">
        <f t="shared" ref="T29:X29" si="87">S29+T20</f>
        <v>118.69768050656708</v>
      </c>
      <c r="U29" s="3">
        <f t="shared" si="87"/>
        <v>175.62133717139162</v>
      </c>
      <c r="V29" s="3">
        <f t="shared" si="87"/>
        <v>273.48241961013053</v>
      </c>
      <c r="W29" s="3">
        <f t="shared" si="87"/>
        <v>418.56561396166535</v>
      </c>
      <c r="X29" s="3">
        <f t="shared" si="87"/>
        <v>617.87497219559191</v>
      </c>
      <c r="Z29" s="3" t="s">
        <v>1</v>
      </c>
      <c r="AA29" s="2">
        <f>AA28/Main!K4</f>
        <v>16.465562118967053</v>
      </c>
    </row>
    <row r="30" spans="1:113" x14ac:dyDescent="0.2">
      <c r="Z30" s="3" t="s">
        <v>38</v>
      </c>
      <c r="AA30" s="8">
        <f>AA29/Main!K3-1</f>
        <v>1.1954082825289403</v>
      </c>
    </row>
    <row r="31" spans="1:113" x14ac:dyDescent="0.2">
      <c r="B31" s="3" t="s">
        <v>4</v>
      </c>
      <c r="G31" s="3">
        <f>81+873.3</f>
        <v>954.3</v>
      </c>
      <c r="N31" s="3">
        <f>100.5+938.9</f>
        <v>1039.4000000000001</v>
      </c>
      <c r="O31" s="3">
        <f>J31</f>
        <v>0</v>
      </c>
    </row>
    <row r="33" spans="2:24" x14ac:dyDescent="0.2">
      <c r="B33" s="3" t="s">
        <v>5</v>
      </c>
      <c r="G33" s="3">
        <f>118.4+0.5+8.1</f>
        <v>127</v>
      </c>
      <c r="N33" s="3">
        <f>0.6+7.3+292</f>
        <v>299.89999999999998</v>
      </c>
      <c r="O33" s="3">
        <f>J33</f>
        <v>0</v>
      </c>
    </row>
    <row r="35" spans="2:24" x14ac:dyDescent="0.2">
      <c r="B35" s="3" t="s">
        <v>31</v>
      </c>
      <c r="C35" s="3">
        <v>-97.5</v>
      </c>
      <c r="G35" s="3">
        <v>-88.9</v>
      </c>
    </row>
    <row r="36" spans="2:24" x14ac:dyDescent="0.2">
      <c r="B36" s="3" t="s">
        <v>32</v>
      </c>
      <c r="C36" s="3">
        <v>0.1</v>
      </c>
      <c r="G36" s="3">
        <v>0.4</v>
      </c>
    </row>
    <row r="37" spans="2:24" x14ac:dyDescent="0.2">
      <c r="B37" s="3" t="s">
        <v>33</v>
      </c>
      <c r="C37" s="3">
        <f>C35-C36</f>
        <v>-97.6</v>
      </c>
      <c r="D37" s="3">
        <f t="shared" ref="D37:G37" si="88">D35-D36</f>
        <v>0</v>
      </c>
      <c r="E37" s="3">
        <f t="shared" si="88"/>
        <v>0</v>
      </c>
      <c r="F37" s="3">
        <f t="shared" si="88"/>
        <v>0</v>
      </c>
      <c r="G37" s="3">
        <f t="shared" si="88"/>
        <v>-89.300000000000011</v>
      </c>
      <c r="H37" s="3">
        <f t="shared" ref="H37" si="89">H35-H36</f>
        <v>0</v>
      </c>
      <c r="I37" s="3">
        <f t="shared" ref="I37" si="90">I35-I36</f>
        <v>0</v>
      </c>
      <c r="J37" s="3">
        <f t="shared" ref="J37:N37" si="91">J35-J36</f>
        <v>0</v>
      </c>
      <c r="L37" s="3">
        <f t="shared" si="91"/>
        <v>0</v>
      </c>
      <c r="M37" s="3">
        <f t="shared" si="91"/>
        <v>0</v>
      </c>
      <c r="N37" s="3">
        <f t="shared" si="91"/>
        <v>0</v>
      </c>
      <c r="O37" s="3">
        <f t="shared" ref="O37" si="92">O35-O36</f>
        <v>0</v>
      </c>
      <c r="P37" s="3">
        <f t="shared" ref="P37" si="93">P35-P36</f>
        <v>0</v>
      </c>
      <c r="Q37" s="3">
        <f t="shared" ref="Q37" si="94">Q35-Q36</f>
        <v>0</v>
      </c>
      <c r="R37" s="3">
        <f t="shared" ref="R37" si="95">R35-R36</f>
        <v>0</v>
      </c>
      <c r="S37" s="3">
        <f t="shared" ref="S37" si="96">S35-S36</f>
        <v>0</v>
      </c>
      <c r="T37" s="3">
        <f t="shared" ref="T37" si="97">T35-T36</f>
        <v>0</v>
      </c>
      <c r="U37" s="3">
        <f t="shared" ref="U37" si="98">U35-U36</f>
        <v>0</v>
      </c>
      <c r="V37" s="3">
        <f t="shared" ref="V37" si="99">V35-V36</f>
        <v>0</v>
      </c>
      <c r="W37" s="3">
        <f t="shared" ref="W37" si="100">W35-W36</f>
        <v>0</v>
      </c>
      <c r="X37" s="3">
        <f t="shared" ref="X37" si="101">X35-X36</f>
        <v>0</v>
      </c>
    </row>
  </sheetData>
  <hyperlinks>
    <hyperlink ref="A1" location="Main!A1" display="Main" xr:uid="{308EFB35-45A3-4C50-9F96-5B69C2FC5B07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4260-003E-46D4-BF24-006BB4F4AA4C}">
  <dimension ref="A1:C18"/>
  <sheetViews>
    <sheetView workbookViewId="0">
      <selection activeCell="G18" sqref="G18"/>
    </sheetView>
  </sheetViews>
  <sheetFormatPr defaultRowHeight="14.25" x14ac:dyDescent="0.2"/>
  <cols>
    <col min="1" max="1" width="4.375" customWidth="1"/>
    <col min="2" max="2" width="12.25" customWidth="1"/>
    <col min="3" max="3" width="15.5" customWidth="1"/>
  </cols>
  <sheetData>
    <row r="1" spans="1:3" x14ac:dyDescent="0.2">
      <c r="A1" s="4" t="s">
        <v>8</v>
      </c>
    </row>
    <row r="2" spans="1:3" x14ac:dyDescent="0.2">
      <c r="B2" t="s">
        <v>45</v>
      </c>
      <c r="C2" t="s">
        <v>50</v>
      </c>
    </row>
    <row r="3" spans="1:3" x14ac:dyDescent="0.2">
      <c r="B3" t="s">
        <v>46</v>
      </c>
      <c r="C3" t="s">
        <v>55</v>
      </c>
    </row>
    <row r="4" spans="1:3" x14ac:dyDescent="0.2">
      <c r="B4" t="s">
        <v>43</v>
      </c>
      <c r="C4" t="s">
        <v>53</v>
      </c>
    </row>
    <row r="5" spans="1:3" x14ac:dyDescent="0.2">
      <c r="B5" t="s">
        <v>48</v>
      </c>
      <c r="C5" t="s">
        <v>60</v>
      </c>
    </row>
    <row r="6" spans="1:3" x14ac:dyDescent="0.2">
      <c r="B6" t="s">
        <v>58</v>
      </c>
    </row>
    <row r="7" spans="1:3" ht="15" x14ac:dyDescent="0.25">
      <c r="C7" s="23" t="s">
        <v>82</v>
      </c>
    </row>
    <row r="8" spans="1:3" x14ac:dyDescent="0.2">
      <c r="C8" t="s">
        <v>84</v>
      </c>
    </row>
    <row r="9" spans="1:3" x14ac:dyDescent="0.2">
      <c r="C9" t="s">
        <v>85</v>
      </c>
    </row>
    <row r="12" spans="1:3" ht="15" x14ac:dyDescent="0.25">
      <c r="C12" s="23" t="s">
        <v>88</v>
      </c>
    </row>
    <row r="13" spans="1:3" x14ac:dyDescent="0.2">
      <c r="C13" t="s">
        <v>86</v>
      </c>
    </row>
    <row r="14" spans="1:3" x14ac:dyDescent="0.2">
      <c r="C14" t="s">
        <v>87</v>
      </c>
    </row>
    <row r="17" spans="3:3" ht="15" x14ac:dyDescent="0.25">
      <c r="C17" s="23" t="s">
        <v>81</v>
      </c>
    </row>
    <row r="18" spans="3:3" ht="15" x14ac:dyDescent="0.25">
      <c r="C18" s="23"/>
    </row>
  </sheetData>
  <hyperlinks>
    <hyperlink ref="A1" location="Main!A1" display="Main" xr:uid="{4732B98F-D6A4-44CF-A013-F0CE37DCCC1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830E-6BA7-46F9-ADF6-E5799868FC38}">
  <dimension ref="A1:C46"/>
  <sheetViews>
    <sheetView topLeftCell="A7" workbookViewId="0">
      <selection activeCell="B46" sqref="B46"/>
    </sheetView>
  </sheetViews>
  <sheetFormatPr defaultRowHeight="14.25" x14ac:dyDescent="0.2"/>
  <cols>
    <col min="1" max="1" width="4.5" customWidth="1"/>
    <col min="2" max="2" width="12" customWidth="1"/>
    <col min="3" max="3" width="14.375" customWidth="1"/>
  </cols>
  <sheetData>
    <row r="1" spans="1:3" x14ac:dyDescent="0.2">
      <c r="A1" s="4" t="s">
        <v>8</v>
      </c>
    </row>
    <row r="2" spans="1:3" x14ac:dyDescent="0.2">
      <c r="B2" t="s">
        <v>45</v>
      </c>
      <c r="C2" t="s">
        <v>42</v>
      </c>
    </row>
    <row r="3" spans="1:3" x14ac:dyDescent="0.2">
      <c r="B3" t="s">
        <v>46</v>
      </c>
      <c r="C3" t="s">
        <v>54</v>
      </c>
    </row>
    <row r="4" spans="1:3" x14ac:dyDescent="0.2">
      <c r="B4" t="s">
        <v>43</v>
      </c>
      <c r="C4" t="s">
        <v>61</v>
      </c>
    </row>
    <row r="5" spans="1:3" x14ac:dyDescent="0.2">
      <c r="B5" t="s">
        <v>48</v>
      </c>
      <c r="C5" t="s">
        <v>59</v>
      </c>
    </row>
    <row r="6" spans="1:3" x14ac:dyDescent="0.2">
      <c r="B6" t="s">
        <v>58</v>
      </c>
    </row>
    <row r="46" spans="2:2" x14ac:dyDescent="0.2">
      <c r="B46">
        <f>B47</f>
        <v>0</v>
      </c>
    </row>
  </sheetData>
  <hyperlinks>
    <hyperlink ref="A1" location="Main!A1" display="Main" xr:uid="{BA2B2E93-3FF3-4A4C-AD10-D1EF6993105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2D59-A024-4A14-8BD0-C2F8781A1295}">
  <dimension ref="A1:C12"/>
  <sheetViews>
    <sheetView workbookViewId="0">
      <selection activeCell="C13" sqref="C13"/>
    </sheetView>
  </sheetViews>
  <sheetFormatPr defaultRowHeight="14.25" x14ac:dyDescent="0.2"/>
  <cols>
    <col min="1" max="1" width="4.375" customWidth="1"/>
    <col min="2" max="2" width="11.875" customWidth="1"/>
    <col min="3" max="3" width="19.625" customWidth="1"/>
  </cols>
  <sheetData>
    <row r="1" spans="1:3" x14ac:dyDescent="0.2">
      <c r="A1" t="s">
        <v>8</v>
      </c>
    </row>
    <row r="2" spans="1:3" x14ac:dyDescent="0.2">
      <c r="B2" t="s">
        <v>45</v>
      </c>
      <c r="C2" t="s">
        <v>40</v>
      </c>
    </row>
    <row r="3" spans="1:3" x14ac:dyDescent="0.2">
      <c r="B3" t="s">
        <v>46</v>
      </c>
    </row>
    <row r="4" spans="1:3" x14ac:dyDescent="0.2">
      <c r="B4" t="s">
        <v>43</v>
      </c>
      <c r="C4" t="s">
        <v>62</v>
      </c>
    </row>
    <row r="5" spans="1:3" x14ac:dyDescent="0.2">
      <c r="B5" t="s">
        <v>48</v>
      </c>
    </row>
    <row r="6" spans="1:3" x14ac:dyDescent="0.2">
      <c r="B6" t="s">
        <v>58</v>
      </c>
    </row>
    <row r="7" spans="1:3" ht="15" x14ac:dyDescent="0.25">
      <c r="C7" s="23" t="s">
        <v>83</v>
      </c>
    </row>
    <row r="8" spans="1:3" x14ac:dyDescent="0.2">
      <c r="C8" t="s">
        <v>89</v>
      </c>
    </row>
    <row r="9" spans="1:3" x14ac:dyDescent="0.2">
      <c r="C9" t="s">
        <v>90</v>
      </c>
    </row>
    <row r="10" spans="1:3" x14ac:dyDescent="0.2">
      <c r="C10" t="s">
        <v>91</v>
      </c>
    </row>
    <row r="12" spans="1:3" ht="15" x14ac:dyDescent="0.25">
      <c r="C12" s="23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E331-C944-4358-9151-F1D7231AD769}">
  <dimension ref="A1:C12"/>
  <sheetViews>
    <sheetView workbookViewId="0">
      <selection activeCell="C13" sqref="C13"/>
    </sheetView>
  </sheetViews>
  <sheetFormatPr defaultRowHeight="14.25" x14ac:dyDescent="0.2"/>
  <cols>
    <col min="1" max="1" width="4.625" customWidth="1"/>
    <col min="2" max="2" width="11.875" customWidth="1"/>
    <col min="3" max="3" width="10.25" customWidth="1"/>
  </cols>
  <sheetData>
    <row r="1" spans="1:3" x14ac:dyDescent="0.2">
      <c r="A1" t="s">
        <v>8</v>
      </c>
    </row>
    <row r="2" spans="1:3" x14ac:dyDescent="0.2">
      <c r="B2" t="s">
        <v>45</v>
      </c>
      <c r="C2" t="s">
        <v>21</v>
      </c>
    </row>
    <row r="3" spans="1:3" x14ac:dyDescent="0.2">
      <c r="B3" t="s">
        <v>46</v>
      </c>
    </row>
    <row r="4" spans="1:3" x14ac:dyDescent="0.2">
      <c r="B4" t="s">
        <v>43</v>
      </c>
      <c r="C4" t="s">
        <v>71</v>
      </c>
    </row>
    <row r="5" spans="1:3" x14ac:dyDescent="0.2">
      <c r="B5" t="s">
        <v>48</v>
      </c>
    </row>
    <row r="6" spans="1:3" x14ac:dyDescent="0.2">
      <c r="B6" t="s">
        <v>58</v>
      </c>
    </row>
    <row r="7" spans="1:3" ht="15" x14ac:dyDescent="0.25">
      <c r="C7" s="23" t="s">
        <v>81</v>
      </c>
    </row>
    <row r="8" spans="1:3" x14ac:dyDescent="0.2">
      <c r="C8" t="s">
        <v>92</v>
      </c>
    </row>
    <row r="9" spans="1:3" x14ac:dyDescent="0.2">
      <c r="C9" t="s">
        <v>93</v>
      </c>
    </row>
    <row r="11" spans="1:3" ht="15" x14ac:dyDescent="0.25">
      <c r="C11" s="23" t="s">
        <v>94</v>
      </c>
    </row>
    <row r="12" spans="1:3" x14ac:dyDescent="0.2">
      <c r="C12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838B-0A91-4AEF-B447-927584A4B6F5}">
  <dimension ref="A1:C11"/>
  <sheetViews>
    <sheetView workbookViewId="0">
      <selection activeCell="C11" sqref="C11"/>
    </sheetView>
  </sheetViews>
  <sheetFormatPr defaultRowHeight="14.25" x14ac:dyDescent="0.2"/>
  <cols>
    <col min="1" max="1" width="4.25" customWidth="1"/>
    <col min="2" max="2" width="11.875" customWidth="1"/>
    <col min="3" max="3" width="22.5" customWidth="1"/>
  </cols>
  <sheetData>
    <row r="1" spans="1:3" x14ac:dyDescent="0.2">
      <c r="A1" t="s">
        <v>8</v>
      </c>
    </row>
    <row r="2" spans="1:3" x14ac:dyDescent="0.2">
      <c r="B2" t="s">
        <v>45</v>
      </c>
      <c r="C2" t="s">
        <v>41</v>
      </c>
    </row>
    <row r="3" spans="1:3" x14ac:dyDescent="0.2">
      <c r="B3" t="s">
        <v>46</v>
      </c>
    </row>
    <row r="4" spans="1:3" x14ac:dyDescent="0.2">
      <c r="B4" t="s">
        <v>43</v>
      </c>
      <c r="C4" t="s">
        <v>72</v>
      </c>
    </row>
    <row r="5" spans="1:3" x14ac:dyDescent="0.2">
      <c r="B5" t="s">
        <v>48</v>
      </c>
    </row>
    <row r="6" spans="1:3" x14ac:dyDescent="0.2">
      <c r="B6" t="s">
        <v>58</v>
      </c>
    </row>
    <row r="7" spans="1:3" ht="15" x14ac:dyDescent="0.25">
      <c r="C7" s="23" t="s">
        <v>81</v>
      </c>
    </row>
    <row r="8" spans="1:3" x14ac:dyDescent="0.2">
      <c r="C8" t="s">
        <v>96</v>
      </c>
    </row>
    <row r="11" spans="1:3" ht="15" x14ac:dyDescent="0.25">
      <c r="C11" s="23" t="s">
        <v>83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vepdegestrant</vt:lpstr>
      <vt:lpstr>luxdegalutamide</vt:lpstr>
      <vt:lpstr>ARV-102</vt:lpstr>
      <vt:lpstr>ARV-393</vt:lpstr>
      <vt:lpstr>ARV-806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2025-05-30T03:24:24Z</dcterms:created>
  <dcterms:modified xsi:type="dcterms:W3CDTF">2025-06-01T01:18:21Z</dcterms:modified>
</cp:coreProperties>
</file>