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3488F725-5A27-48B8-9A89-BC749CFA967D}" xr6:coauthVersionLast="47" xr6:coauthVersionMax="47" xr10:uidLastSave="{00000000-0000-0000-0000-000000000000}"/>
  <bookViews>
    <workbookView xWindow="810" yWindow="525" windowWidth="17745" windowHeight="14640" activeTab="1" xr2:uid="{A7BFAB66-6927-4D2A-AF29-064DCDF98222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3" l="1"/>
  <c r="R12" i="3"/>
  <c r="S12" i="3"/>
  <c r="P12" i="3"/>
  <c r="O12" i="3"/>
  <c r="Q34" i="3"/>
  <c r="R34" i="3" s="1"/>
  <c r="S34" i="3" s="1"/>
  <c r="P34" i="3"/>
  <c r="G6" i="3"/>
  <c r="H14" i="3"/>
  <c r="H32" i="3" s="1"/>
  <c r="I14" i="3"/>
  <c r="J14" i="3"/>
  <c r="D19" i="3"/>
  <c r="E19" i="3"/>
  <c r="F19" i="3"/>
  <c r="G19" i="3"/>
  <c r="H19" i="3"/>
  <c r="H34" i="3" s="1"/>
  <c r="I19" i="3"/>
  <c r="J19" i="3"/>
  <c r="J34" i="3" s="1"/>
  <c r="C19" i="3"/>
  <c r="I36" i="3"/>
  <c r="J36" i="3"/>
  <c r="D36" i="3"/>
  <c r="E36" i="3"/>
  <c r="F36" i="3"/>
  <c r="C36" i="3"/>
  <c r="H36" i="3"/>
  <c r="G38" i="3"/>
  <c r="G37" i="3"/>
  <c r="G36" i="3" s="1"/>
  <c r="O29" i="3"/>
  <c r="D12" i="3"/>
  <c r="H29" i="3" s="1"/>
  <c r="E12" i="3"/>
  <c r="I29" i="3" s="1"/>
  <c r="F12" i="3"/>
  <c r="J29" i="3" s="1"/>
  <c r="G12" i="3"/>
  <c r="C12" i="3"/>
  <c r="C14" i="3" s="1"/>
  <c r="O42" i="3"/>
  <c r="P42" i="3"/>
  <c r="Q42" i="3"/>
  <c r="R42" i="3"/>
  <c r="S42" i="3"/>
  <c r="M42" i="3"/>
  <c r="N42" i="3"/>
  <c r="L42" i="3"/>
  <c r="N38" i="3"/>
  <c r="N37" i="3"/>
  <c r="O26" i="3"/>
  <c r="P26" i="3" s="1"/>
  <c r="Q26" i="3" s="1"/>
  <c r="R26" i="3" s="1"/>
  <c r="S26" i="3" s="1"/>
  <c r="N29" i="3"/>
  <c r="M29" i="3"/>
  <c r="M19" i="3"/>
  <c r="M34" i="3" s="1"/>
  <c r="N19" i="3"/>
  <c r="N34" i="3" s="1"/>
  <c r="O34" i="3" s="1"/>
  <c r="L19" i="3"/>
  <c r="L34" i="3" s="1"/>
  <c r="M14" i="3"/>
  <c r="N14" i="3"/>
  <c r="L14" i="3"/>
  <c r="M1" i="3"/>
  <c r="N1" i="3" s="1"/>
  <c r="O1" i="3" s="1"/>
  <c r="P1" i="3" s="1"/>
  <c r="Q1" i="3" s="1"/>
  <c r="R1" i="3" s="1"/>
  <c r="S1" i="3" s="1"/>
  <c r="F7" i="1"/>
  <c r="F6" i="1"/>
  <c r="F4" i="1"/>
  <c r="F5" i="1"/>
  <c r="F8" i="1" s="1"/>
  <c r="G29" i="3" l="1"/>
  <c r="C20" i="3"/>
  <c r="C23" i="3" s="1"/>
  <c r="C25" i="3" s="1"/>
  <c r="F34" i="3"/>
  <c r="E14" i="3"/>
  <c r="E20" i="3" s="1"/>
  <c r="E23" i="3" s="1"/>
  <c r="E34" i="3"/>
  <c r="E25" i="3"/>
  <c r="E30" i="3"/>
  <c r="I20" i="3"/>
  <c r="I23" i="3" s="1"/>
  <c r="J20" i="3"/>
  <c r="J23" i="3" s="1"/>
  <c r="J32" i="3"/>
  <c r="G34" i="3"/>
  <c r="D14" i="3"/>
  <c r="D20" i="3" s="1"/>
  <c r="D23" i="3" s="1"/>
  <c r="D34" i="3"/>
  <c r="G14" i="3"/>
  <c r="G20" i="3" s="1"/>
  <c r="G23" i="3" s="1"/>
  <c r="F14" i="3"/>
  <c r="F20" i="3" s="1"/>
  <c r="F23" i="3" s="1"/>
  <c r="H33" i="3"/>
  <c r="H23" i="3"/>
  <c r="F33" i="3"/>
  <c r="E33" i="3"/>
  <c r="C32" i="3"/>
  <c r="C34" i="3"/>
  <c r="L20" i="3"/>
  <c r="N20" i="3"/>
  <c r="N36" i="3"/>
  <c r="O22" i="3" s="1"/>
  <c r="M20" i="3"/>
  <c r="M32" i="3"/>
  <c r="L32" i="3"/>
  <c r="N32" i="3"/>
  <c r="O32" i="3" s="1"/>
  <c r="P32" i="3" s="1"/>
  <c r="Q32" i="3" s="1"/>
  <c r="R32" i="3" s="1"/>
  <c r="S32" i="3" s="1"/>
  <c r="O19" i="3"/>
  <c r="O13" i="3"/>
  <c r="O14" i="3" s="1"/>
  <c r="O20" i="3" s="1"/>
  <c r="C30" i="3" l="1"/>
  <c r="C33" i="3"/>
  <c r="E32" i="3"/>
  <c r="F32" i="3"/>
  <c r="J25" i="3"/>
  <c r="J30" i="3"/>
  <c r="G25" i="3"/>
  <c r="G30" i="3"/>
  <c r="D33" i="3"/>
  <c r="D25" i="3"/>
  <c r="D30" i="3"/>
  <c r="G33" i="3"/>
  <c r="G32" i="3"/>
  <c r="D32" i="3"/>
  <c r="H25" i="3"/>
  <c r="H30" i="3"/>
  <c r="J33" i="3"/>
  <c r="I25" i="3"/>
  <c r="I30" i="3"/>
  <c r="F25" i="3"/>
  <c r="F30" i="3"/>
  <c r="P13" i="3"/>
  <c r="P14" i="3" s="1"/>
  <c r="M23" i="3"/>
  <c r="M33" i="3"/>
  <c r="N23" i="3"/>
  <c r="N30" i="3" s="1"/>
  <c r="N33" i="3"/>
  <c r="L23" i="3"/>
  <c r="L33" i="3"/>
  <c r="P29" i="3"/>
  <c r="Q19" i="3"/>
  <c r="O23" i="3"/>
  <c r="O24" i="3" s="1"/>
  <c r="O33" i="3"/>
  <c r="N25" i="3"/>
  <c r="N27" i="3" s="1"/>
  <c r="P19" i="3"/>
  <c r="Q29" i="3"/>
  <c r="Q13" i="3"/>
  <c r="Q14" i="3" s="1"/>
  <c r="R29" i="3"/>
  <c r="P20" i="3" l="1"/>
  <c r="P33" i="3" s="1"/>
  <c r="Q20" i="3"/>
  <c r="Q33" i="3" s="1"/>
  <c r="O25" i="3"/>
  <c r="L30" i="3"/>
  <c r="L25" i="3"/>
  <c r="L27" i="3" s="1"/>
  <c r="M30" i="3"/>
  <c r="M25" i="3"/>
  <c r="M27" i="3" s="1"/>
  <c r="R13" i="3"/>
  <c r="S13" i="3"/>
  <c r="S14" i="3" s="1"/>
  <c r="R19" i="3"/>
  <c r="R14" i="3"/>
  <c r="S29" i="3"/>
  <c r="S19" i="3"/>
  <c r="O27" i="3"/>
  <c r="O36" i="3"/>
  <c r="R20" i="3" l="1"/>
  <c r="R33" i="3" s="1"/>
  <c r="S20" i="3"/>
  <c r="S33" i="3" s="1"/>
  <c r="P22" i="3"/>
  <c r="P23" i="3" s="1"/>
  <c r="P24" i="3" l="1"/>
  <c r="P25" i="3" s="1"/>
  <c r="P27" i="3" l="1"/>
  <c r="P36" i="3"/>
  <c r="Q22" i="3" l="1"/>
  <c r="Q23" i="3" s="1"/>
  <c r="Q24" i="3" l="1"/>
  <c r="Q25" i="3" s="1"/>
  <c r="Q27" i="3" l="1"/>
  <c r="Q36" i="3"/>
  <c r="R22" i="3" l="1"/>
  <c r="R23" i="3" s="1"/>
  <c r="R24" i="3" l="1"/>
  <c r="R25" i="3" s="1"/>
  <c r="R27" i="3" l="1"/>
  <c r="R36" i="3"/>
  <c r="S22" i="3" l="1"/>
  <c r="S23" i="3" s="1"/>
  <c r="S24" i="3" l="1"/>
  <c r="S25" i="3" s="1"/>
  <c r="S27" i="3" l="1"/>
  <c r="T25" i="3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CK25" i="3" s="1"/>
  <c r="CL25" i="3" s="1"/>
  <c r="CM25" i="3" s="1"/>
  <c r="CN25" i="3" s="1"/>
  <c r="CO25" i="3" s="1"/>
  <c r="CP25" i="3" s="1"/>
  <c r="CQ25" i="3" s="1"/>
  <c r="CR25" i="3" s="1"/>
  <c r="CS25" i="3" s="1"/>
  <c r="CT25" i="3" s="1"/>
  <c r="CU25" i="3" s="1"/>
  <c r="CV25" i="3" s="1"/>
  <c r="CW25" i="3" s="1"/>
  <c r="CX25" i="3" s="1"/>
  <c r="CY25" i="3" s="1"/>
  <c r="CZ25" i="3" s="1"/>
  <c r="DA25" i="3" s="1"/>
  <c r="DB25" i="3" s="1"/>
  <c r="DC25" i="3" s="1"/>
  <c r="DD25" i="3" s="1"/>
  <c r="DE25" i="3" s="1"/>
  <c r="DF25" i="3" s="1"/>
  <c r="DG25" i="3" s="1"/>
  <c r="DH25" i="3" s="1"/>
  <c r="DI25" i="3" s="1"/>
  <c r="DJ25" i="3" s="1"/>
  <c r="DK25" i="3" s="1"/>
  <c r="DL25" i="3" s="1"/>
  <c r="DM25" i="3" s="1"/>
  <c r="DN25" i="3" s="1"/>
  <c r="DO25" i="3" s="1"/>
  <c r="S36" i="3"/>
  <c r="V33" i="3" l="1"/>
  <c r="V34" i="3" s="1"/>
  <c r="V35" i="3" s="1"/>
  <c r="I34" i="3"/>
  <c r="I33" i="3"/>
  <c r="I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tc={51A786C5-0B80-434D-849A-A94ADC7AA0F5}</author>
  </authors>
  <commentList>
    <comment ref="H20" authorId="0" shapeId="0" xr:uid="{51A786C5-0B80-434D-849A-A94ADC7AA0F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<sst xmlns="http://schemas.openxmlformats.org/spreadsheetml/2006/main" count="59" uniqueCount="52">
  <si>
    <t>HIMS</t>
  </si>
  <si>
    <t>Price</t>
  </si>
  <si>
    <t>Shares</t>
  </si>
  <si>
    <t>MC</t>
  </si>
  <si>
    <t>Cash</t>
  </si>
  <si>
    <t>Debt</t>
  </si>
  <si>
    <t>Q125</t>
  </si>
  <si>
    <t>EV</t>
  </si>
  <si>
    <t>Revenue</t>
  </si>
  <si>
    <t>Main</t>
  </si>
  <si>
    <t>COGS</t>
  </si>
  <si>
    <t>Gross Profit</t>
  </si>
  <si>
    <t>Marketing</t>
  </si>
  <si>
    <t>Operating &amp; Support</t>
  </si>
  <si>
    <t>R&amp;D</t>
  </si>
  <si>
    <t>G&amp;A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</si>
  <si>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</si>
  <si>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</si>
  <si>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</si>
  <si>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</si>
  <si>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</si>
  <si>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</si>
  <si>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</si>
  <si>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</si>
  <si>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</si>
  <si>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</si>
  <si>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OPEX Margin</t>
  </si>
  <si>
    <t>Net Cash</t>
  </si>
  <si>
    <t>Other Income</t>
  </si>
  <si>
    <t>ROIC</t>
  </si>
  <si>
    <t>Maturity</t>
  </si>
  <si>
    <t>Discount</t>
  </si>
  <si>
    <t>NPV</t>
  </si>
  <si>
    <t>Diff</t>
  </si>
  <si>
    <t>CFFO</t>
  </si>
  <si>
    <t>CX</t>
  </si>
  <si>
    <t>FCF</t>
  </si>
  <si>
    <t>Subscriptions</t>
  </si>
  <si>
    <t>Monthly R per Sub</t>
  </si>
  <si>
    <t>Q124</t>
  </si>
  <si>
    <t>Q224</t>
  </si>
  <si>
    <t>Q324</t>
  </si>
  <si>
    <t>Q424</t>
  </si>
  <si>
    <t>Q225</t>
  </si>
  <si>
    <t>Online Revenue</t>
  </si>
  <si>
    <t>Wholesale Revenue</t>
  </si>
  <si>
    <t>Operating Margin</t>
  </si>
  <si>
    <t>Q325</t>
  </si>
  <si>
    <t>Q425</t>
  </si>
  <si>
    <t>Wegovy</t>
  </si>
  <si>
    <t>Finasteride</t>
  </si>
  <si>
    <t>Subs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</si>
</sst>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19050</xdr:rowOff>
    </xdr:from>
    <xdr:to>
      <xdr:col>14</xdr:col>
      <xdr:colOff>19050</xdr:colOff>
      <xdr:row>71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14D002-9F02-FC0B-498C-37F1E8FDC9CF}"/>
            </a:ext>
          </a:extLst>
        </xdr:cNvPr>
        <xdr:cNvCxnSpPr/>
      </xdr:nvCxnSpPr>
      <xdr:spPr>
        <a:xfrm>
          <a:off x="5810250" y="19050"/>
          <a:ext cx="19050" cy="107156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9525</xdr:rowOff>
    </xdr:from>
    <xdr:to>
      <xdr:col>7</xdr:col>
      <xdr:colOff>19050</xdr:colOff>
      <xdr:row>71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6F44617-A350-444E-85FE-8CBB8F9AFED0}"/>
            </a:ext>
          </a:extLst>
        </xdr:cNvPr>
        <xdr:cNvCxnSpPr/>
      </xdr:nvCxnSpPr>
      <xdr:spPr>
        <a:xfrm>
          <a:off x="5095875" y="9525"/>
          <a:ext cx="19050" cy="114871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2D277DB6-5456-46D3-8D49-2683F1016B11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0" dT="2025-05-28T04:41:11.50" personId="{2D277DB6-5456-46D3-8D49-2683F1016B11}" id="{51A786C5-0B80-434D-849A-A94ADC7AA0F5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3AA2-AC47-48B4-A610-89E0B57A786A}">
  <dimension ref="C1:G8"/>
  <sheetViews>
    <sheetView topLeftCell="C1" zoomScale="220" zoomScaleNormal="220" workbookViewId="0">
      <selection activeCell="F7" sqref="F7"/>
    </sheetView>
  </sheetViews>
  <sheetFormatPr defaultRowHeight="14.25" x14ac:dyDescent="0.2"/>
  <sheetData>
    <row r="1" spans="3:7" ht="15" x14ac:dyDescent="0.25">
      <c r="C1" s="1" t="s">
        <v>0</v>
      </c>
    </row>
    <row r="3" spans="3:7" x14ac:dyDescent="0.2">
      <c r="E3" t="s">
        <v>1</v>
      </c>
      <c r="F3" s="2">
        <v>53.4</v>
      </c>
    </row>
    <row r="4" spans="3:7" x14ac:dyDescent="0.2">
      <c r="E4" t="s">
        <v>2</v>
      </c>
      <c r="F4" s="2">
        <f>215.45+8.38</f>
        <v>223.82999999999998</v>
      </c>
      <c r="G4" t="s">
        <v>6</v>
      </c>
    </row>
    <row r="5" spans="3:7" x14ac:dyDescent="0.2">
      <c r="E5" t="s">
        <v>3</v>
      </c>
      <c r="F5" s="2">
        <f>F4*F3</f>
        <v>11952.521999999999</v>
      </c>
    </row>
    <row r="6" spans="3:7" x14ac:dyDescent="0.2">
      <c r="E6" t="s">
        <v>4</v>
      </c>
      <c r="F6" s="2">
        <f>273.7+48.9</f>
        <v>322.59999999999997</v>
      </c>
      <c r="G6" t="s">
        <v>6</v>
      </c>
    </row>
    <row r="7" spans="3:7" x14ac:dyDescent="0.2">
      <c r="E7" t="s">
        <v>5</v>
      </c>
      <c r="F7" s="2">
        <f>59.65+2.4</f>
        <v>62.05</v>
      </c>
      <c r="G7" t="s">
        <v>6</v>
      </c>
    </row>
    <row r="8" spans="3:7" x14ac:dyDescent="0.2">
      <c r="E8" t="s">
        <v>7</v>
      </c>
      <c r="F8" s="2">
        <f>F5+F7-F6</f>
        <v>11691.971999999998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856F-DB92-4EC8-82A5-6154AFF7D421}">
  <dimension ref="A1:DO42"/>
  <sheetViews>
    <sheetView tabSelected="1" workbookViewId="0">
      <pane xSplit="2" ySplit="1" topLeftCell="M9" activePane="bottomRight" state="frozen"/>
      <selection pane="topRight" activeCell="C1" sqref="C1"/>
      <selection pane="bottomLeft" activeCell="A2" sqref="A2"/>
      <selection pane="bottomRight" activeCell="V31" sqref="V31"/>
    </sheetView>
  </sheetViews>
  <sheetFormatPr defaultRowHeight="14.25" x14ac:dyDescent="0.2"/>
  <cols>
    <col min="1" max="1" width="4.25" style="2" customWidth="1"/>
    <col min="2" max="2" width="17.625" style="2" customWidth="1"/>
    <col min="3" max="16384" width="9" style="2"/>
  </cols>
  <sheetData>
    <row r="1" spans="1:19" x14ac:dyDescent="0.2">
      <c r="A1" s="3" t="s">
        <v>9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6</v>
      </c>
      <c r="H1" s="2" t="s">
        <v>43</v>
      </c>
      <c r="I1" s="2" t="s">
        <v>47</v>
      </c>
      <c r="J1" s="2" t="s">
        <v>48</v>
      </c>
      <c r="L1" s="5">
        <v>2022</v>
      </c>
      <c r="M1" s="5">
        <f>L1+1</f>
        <v>2023</v>
      </c>
      <c r="N1" s="5">
        <f t="shared" ref="N1:S1" si="0">M1+1</f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</row>
    <row r="2" spans="1:19" x14ac:dyDescent="0.2">
      <c r="A2" s="3"/>
      <c r="B2" s="2" t="s">
        <v>49</v>
      </c>
      <c r="L2" s="5"/>
      <c r="M2" s="5"/>
      <c r="N2" s="5"/>
      <c r="O2" s="5"/>
      <c r="P2" s="5"/>
      <c r="Q2" s="5"/>
      <c r="R2" s="5"/>
      <c r="S2" s="5"/>
    </row>
    <row r="3" spans="1:19" x14ac:dyDescent="0.2">
      <c r="A3" s="3"/>
      <c r="B3" s="2" t="s">
        <v>50</v>
      </c>
      <c r="L3" s="5"/>
      <c r="M3" s="5"/>
      <c r="N3" s="5"/>
      <c r="O3" s="5"/>
      <c r="P3" s="5"/>
      <c r="Q3" s="5"/>
      <c r="R3" s="5"/>
      <c r="S3" s="5"/>
    </row>
    <row r="4" spans="1:19" x14ac:dyDescent="0.2">
      <c r="A4" s="3"/>
      <c r="L4" s="5"/>
      <c r="M4" s="5"/>
      <c r="N4" s="5"/>
      <c r="O4" s="5"/>
      <c r="P4" s="5"/>
      <c r="Q4" s="5"/>
      <c r="R4" s="5"/>
      <c r="S4" s="5"/>
    </row>
    <row r="5" spans="1:19" x14ac:dyDescent="0.2">
      <c r="A5" s="3"/>
      <c r="L5" s="5"/>
      <c r="M5" s="5"/>
      <c r="N5" s="5"/>
      <c r="O5" s="5"/>
      <c r="P5" s="5"/>
      <c r="Q5" s="5"/>
      <c r="R5" s="5"/>
      <c r="S5" s="5"/>
    </row>
    <row r="6" spans="1:19" x14ac:dyDescent="0.2">
      <c r="A6" s="3"/>
      <c r="B6" s="2" t="s">
        <v>51</v>
      </c>
      <c r="G6" s="7">
        <f>G7/C7-1</f>
        <v>0.38443534230544185</v>
      </c>
      <c r="L6" s="5"/>
      <c r="M6" s="5"/>
      <c r="N6" s="5"/>
      <c r="O6" s="5"/>
      <c r="P6" s="5"/>
      <c r="Q6" s="5"/>
      <c r="R6" s="5"/>
      <c r="S6" s="5"/>
    </row>
    <row r="7" spans="1:19" x14ac:dyDescent="0.2">
      <c r="A7" s="3"/>
      <c r="B7" s="2" t="s">
        <v>37</v>
      </c>
      <c r="C7" s="2">
        <v>1709000</v>
      </c>
      <c r="G7" s="2">
        <v>2366000</v>
      </c>
      <c r="L7" s="5"/>
      <c r="M7" s="5"/>
      <c r="N7" s="5"/>
      <c r="O7" s="5"/>
      <c r="P7" s="5"/>
      <c r="Q7" s="5"/>
      <c r="R7" s="5"/>
      <c r="S7" s="5"/>
    </row>
    <row r="8" spans="1:19" x14ac:dyDescent="0.2">
      <c r="A8" s="3"/>
      <c r="B8" s="2" t="s">
        <v>38</v>
      </c>
      <c r="C8" s="2">
        <v>55</v>
      </c>
      <c r="G8" s="2">
        <v>84</v>
      </c>
      <c r="L8" s="5"/>
      <c r="M8" s="5"/>
      <c r="N8" s="5"/>
      <c r="O8" s="5"/>
      <c r="P8" s="5"/>
      <c r="Q8" s="5"/>
      <c r="R8" s="5"/>
      <c r="S8" s="5"/>
    </row>
    <row r="9" spans="1:19" x14ac:dyDescent="0.2">
      <c r="A9" s="3"/>
      <c r="L9" s="5"/>
      <c r="M9" s="5"/>
      <c r="N9" s="5"/>
      <c r="O9" s="5"/>
      <c r="P9" s="5"/>
      <c r="Q9" s="5"/>
      <c r="R9" s="5"/>
      <c r="S9" s="5"/>
    </row>
    <row r="10" spans="1:19" x14ac:dyDescent="0.2">
      <c r="A10" s="3"/>
      <c r="B10" s="2" t="s">
        <v>44</v>
      </c>
      <c r="C10" s="2">
        <v>267.8</v>
      </c>
      <c r="G10" s="2">
        <v>576.4</v>
      </c>
      <c r="L10" s="5"/>
      <c r="M10" s="5"/>
      <c r="N10" s="5"/>
      <c r="O10" s="5"/>
      <c r="P10" s="5"/>
      <c r="Q10" s="5"/>
      <c r="R10" s="5"/>
      <c r="S10" s="5"/>
    </row>
    <row r="11" spans="1:19" x14ac:dyDescent="0.2">
      <c r="A11" s="3"/>
      <c r="B11" s="2" t="s">
        <v>45</v>
      </c>
      <c r="C11" s="2">
        <v>10.4</v>
      </c>
      <c r="G11" s="2">
        <v>9.6</v>
      </c>
      <c r="L11" s="5"/>
      <c r="M11" s="5"/>
      <c r="N11" s="5"/>
      <c r="O11" s="5"/>
      <c r="P11" s="5"/>
      <c r="Q11" s="5"/>
      <c r="R11" s="5"/>
      <c r="S11" s="5"/>
    </row>
    <row r="12" spans="1:19" s="4" customFormat="1" ht="15" x14ac:dyDescent="0.25">
      <c r="A12" s="2"/>
      <c r="B12" s="4" t="s">
        <v>8</v>
      </c>
      <c r="C12" s="4">
        <f>SUM(C10:C11)</f>
        <v>278.2</v>
      </c>
      <c r="D12" s="4">
        <f t="shared" ref="D12:G12" si="1">SUM(D10:D11)</f>
        <v>0</v>
      </c>
      <c r="E12" s="4">
        <f t="shared" si="1"/>
        <v>0</v>
      </c>
      <c r="F12" s="4">
        <f t="shared" si="1"/>
        <v>0</v>
      </c>
      <c r="G12" s="4">
        <f t="shared" si="1"/>
        <v>586</v>
      </c>
      <c r="H12" s="4">
        <v>540</v>
      </c>
      <c r="I12" s="4">
        <v>540</v>
      </c>
      <c r="J12" s="4">
        <v>540</v>
      </c>
      <c r="L12" s="4">
        <v>526.9</v>
      </c>
      <c r="M12" s="4">
        <v>872</v>
      </c>
      <c r="N12" s="4">
        <v>1476.5</v>
      </c>
      <c r="O12" s="4">
        <f>N12*1.6</f>
        <v>2362.4</v>
      </c>
      <c r="P12" s="4">
        <f>O12*1.29</f>
        <v>3047.4960000000001</v>
      </c>
      <c r="Q12" s="4">
        <f t="shared" ref="Q12:S12" si="2">P12*1.29</f>
        <v>3931.2698400000004</v>
      </c>
      <c r="R12" s="4">
        <f t="shared" si="2"/>
        <v>5071.3380936000003</v>
      </c>
      <c r="S12" s="4">
        <f t="shared" si="2"/>
        <v>6542.0261407440003</v>
      </c>
    </row>
    <row r="13" spans="1:19" x14ac:dyDescent="0.2">
      <c r="B13" s="2" t="s">
        <v>10</v>
      </c>
      <c r="C13" s="2">
        <v>49.08</v>
      </c>
      <c r="G13" s="2">
        <v>155.30000000000001</v>
      </c>
      <c r="L13" s="2">
        <v>118.2</v>
      </c>
      <c r="M13" s="2">
        <v>157</v>
      </c>
      <c r="N13" s="2">
        <v>303.39999999999998</v>
      </c>
      <c r="O13" s="2">
        <f>O12*(1-O32)</f>
        <v>466.67040000000003</v>
      </c>
      <c r="P13" s="2">
        <f t="shared" ref="P13:S13" si="3">P12*(1-P32)</f>
        <v>577.54990415999998</v>
      </c>
      <c r="Q13" s="2">
        <f t="shared" si="3"/>
        <v>713.17707173006374</v>
      </c>
      <c r="R13" s="2">
        <f t="shared" si="3"/>
        <v>878.48502582109984</v>
      </c>
      <c r="S13" s="2">
        <f t="shared" si="3"/>
        <v>1079.157878734871</v>
      </c>
    </row>
    <row r="14" spans="1:19" x14ac:dyDescent="0.2">
      <c r="B14" s="2" t="s">
        <v>11</v>
      </c>
      <c r="C14" s="2">
        <f>C12-C13</f>
        <v>229.12</v>
      </c>
      <c r="D14" s="2">
        <f t="shared" ref="D14:J14" si="4">D12-D13</f>
        <v>0</v>
      </c>
      <c r="E14" s="2">
        <f t="shared" si="4"/>
        <v>0</v>
      </c>
      <c r="F14" s="2">
        <f t="shared" si="4"/>
        <v>0</v>
      </c>
      <c r="G14" s="2">
        <f t="shared" si="4"/>
        <v>430.7</v>
      </c>
      <c r="H14" s="2">
        <f t="shared" si="4"/>
        <v>540</v>
      </c>
      <c r="I14" s="2">
        <f t="shared" si="4"/>
        <v>540</v>
      </c>
      <c r="J14" s="2">
        <f t="shared" si="4"/>
        <v>540</v>
      </c>
      <c r="L14" s="2">
        <f>L12-L13</f>
        <v>408.7</v>
      </c>
      <c r="M14" s="2">
        <f t="shared" ref="M14:S14" si="5">M12-M13</f>
        <v>715</v>
      </c>
      <c r="N14" s="2">
        <f t="shared" si="5"/>
        <v>1173.0999999999999</v>
      </c>
      <c r="O14" s="2">
        <f t="shared" si="5"/>
        <v>1895.7296000000001</v>
      </c>
      <c r="P14" s="2">
        <f t="shared" si="5"/>
        <v>2469.94609584</v>
      </c>
      <c r="Q14" s="2">
        <f t="shared" si="5"/>
        <v>3218.0927682699366</v>
      </c>
      <c r="R14" s="2">
        <f t="shared" si="5"/>
        <v>4192.8530677789004</v>
      </c>
      <c r="S14" s="2">
        <f t="shared" si="5"/>
        <v>5462.8682620091295</v>
      </c>
    </row>
    <row r="15" spans="1:19" x14ac:dyDescent="0.2">
      <c r="B15" s="2" t="s">
        <v>12</v>
      </c>
      <c r="C15" s="2">
        <v>130.55000000000001</v>
      </c>
      <c r="G15" s="2">
        <v>231.2</v>
      </c>
      <c r="L15" s="2">
        <v>272.60000000000002</v>
      </c>
      <c r="M15" s="2">
        <v>446.4</v>
      </c>
      <c r="N15" s="2">
        <v>678.8</v>
      </c>
    </row>
    <row r="16" spans="1:19" x14ac:dyDescent="0.2">
      <c r="B16" s="2" t="s">
        <v>13</v>
      </c>
      <c r="C16" s="2">
        <v>38.799999999999997</v>
      </c>
      <c r="G16" s="2">
        <v>63</v>
      </c>
      <c r="L16" s="2">
        <v>77.400000000000006</v>
      </c>
      <c r="M16" s="2">
        <v>119.9</v>
      </c>
      <c r="N16" s="2">
        <v>185.8</v>
      </c>
    </row>
    <row r="17" spans="1:119" x14ac:dyDescent="0.2">
      <c r="B17" s="2" t="s">
        <v>14</v>
      </c>
      <c r="C17" s="2">
        <v>15.3</v>
      </c>
      <c r="G17" s="2">
        <v>29.9</v>
      </c>
      <c r="L17" s="2">
        <v>29.2</v>
      </c>
      <c r="M17" s="2">
        <v>48.2</v>
      </c>
      <c r="N17" s="2">
        <v>78.8</v>
      </c>
    </row>
    <row r="18" spans="1:119" x14ac:dyDescent="0.2">
      <c r="B18" s="2" t="s">
        <v>15</v>
      </c>
      <c r="C18" s="2">
        <v>34.6</v>
      </c>
      <c r="G18" s="2">
        <v>48.6</v>
      </c>
      <c r="L18" s="2">
        <v>98.2</v>
      </c>
      <c r="M18" s="2">
        <v>129.9</v>
      </c>
      <c r="N18" s="2">
        <v>167.8</v>
      </c>
    </row>
    <row r="19" spans="1:119" x14ac:dyDescent="0.2">
      <c r="B19" s="2" t="s">
        <v>16</v>
      </c>
      <c r="C19" s="2">
        <f>SUM(C15:C18)</f>
        <v>219.25000000000003</v>
      </c>
      <c r="D19" s="2">
        <f t="shared" ref="D19:J19" si="6">SUM(D15:D18)</f>
        <v>0</v>
      </c>
      <c r="E19" s="2">
        <f t="shared" si="6"/>
        <v>0</v>
      </c>
      <c r="F19" s="2">
        <f t="shared" si="6"/>
        <v>0</v>
      </c>
      <c r="G19" s="2">
        <f t="shared" si="6"/>
        <v>372.7</v>
      </c>
      <c r="H19" s="2">
        <f t="shared" si="6"/>
        <v>0</v>
      </c>
      <c r="I19" s="2">
        <f t="shared" si="6"/>
        <v>0</v>
      </c>
      <c r="J19" s="2">
        <f t="shared" si="6"/>
        <v>0</v>
      </c>
      <c r="L19" s="2">
        <f>SUM(L15:L18)</f>
        <v>477.4</v>
      </c>
      <c r="M19" s="2">
        <f t="shared" ref="M19:N19" si="7">SUM(M15:M18)</f>
        <v>744.4</v>
      </c>
      <c r="N19" s="2">
        <f t="shared" si="7"/>
        <v>1111.1999999999998</v>
      </c>
      <c r="O19" s="2">
        <f>O12*O34</f>
        <v>1600.1279999999997</v>
      </c>
      <c r="P19" s="2">
        <f t="shared" ref="P19:S19" si="8">P12*P34</f>
        <v>2022.8818175999995</v>
      </c>
      <c r="Q19" s="2">
        <f t="shared" si="8"/>
        <v>2557.3271938099197</v>
      </c>
      <c r="R19" s="2">
        <f t="shared" si="8"/>
        <v>3232.9730384145</v>
      </c>
      <c r="S19" s="2">
        <f t="shared" si="8"/>
        <v>4087.1245151636112</v>
      </c>
    </row>
    <row r="20" spans="1:119" x14ac:dyDescent="0.2">
      <c r="B20" s="2" t="s">
        <v>17</v>
      </c>
      <c r="C20" s="2">
        <f>C14-C19</f>
        <v>9.8699999999999761</v>
      </c>
      <c r="D20" s="2">
        <f t="shared" ref="D20:J20" si="9">D14-D19</f>
        <v>0</v>
      </c>
      <c r="E20" s="2">
        <f t="shared" si="9"/>
        <v>0</v>
      </c>
      <c r="F20" s="2">
        <f t="shared" si="9"/>
        <v>0</v>
      </c>
      <c r="G20" s="2">
        <f t="shared" si="9"/>
        <v>58</v>
      </c>
      <c r="H20" s="2">
        <v>70</v>
      </c>
      <c r="I20" s="2">
        <f t="shared" si="9"/>
        <v>540</v>
      </c>
      <c r="J20" s="2">
        <f t="shared" si="9"/>
        <v>540</v>
      </c>
      <c r="L20" s="2">
        <f>L14-L19</f>
        <v>-68.699999999999989</v>
      </c>
      <c r="M20" s="2">
        <f t="shared" ref="M20:S20" si="10">M14-M19</f>
        <v>-29.399999999999977</v>
      </c>
      <c r="N20" s="2">
        <f t="shared" si="10"/>
        <v>61.900000000000091</v>
      </c>
      <c r="O20" s="2">
        <f t="shared" si="10"/>
        <v>295.60160000000042</v>
      </c>
      <c r="P20" s="2">
        <f t="shared" si="10"/>
        <v>447.06427824000048</v>
      </c>
      <c r="Q20" s="2">
        <f t="shared" si="10"/>
        <v>660.76557446001698</v>
      </c>
      <c r="R20" s="2">
        <f t="shared" si="10"/>
        <v>959.88002936440034</v>
      </c>
      <c r="S20" s="2">
        <f t="shared" si="10"/>
        <v>1375.7437468455182</v>
      </c>
    </row>
    <row r="21" spans="1:119" x14ac:dyDescent="0.2">
      <c r="B21" s="2" t="s">
        <v>28</v>
      </c>
      <c r="C21" s="2">
        <v>2.5</v>
      </c>
      <c r="G21" s="2">
        <v>2.6</v>
      </c>
      <c r="L21" s="2">
        <v>3</v>
      </c>
      <c r="M21" s="2">
        <v>7.9</v>
      </c>
      <c r="N21" s="2">
        <v>9.8000000000000007</v>
      </c>
    </row>
    <row r="22" spans="1:119" x14ac:dyDescent="0.2">
      <c r="B22" s="2" t="s">
        <v>18</v>
      </c>
      <c r="O22" s="2">
        <f>N36*$V$30</f>
        <v>15.632999999999997</v>
      </c>
      <c r="P22" s="2">
        <f t="shared" ref="P22:S22" si="11">O36*$V$30</f>
        <v>30.759001560000016</v>
      </c>
      <c r="Q22" s="2">
        <f t="shared" si="11"/>
        <v>53.981212958280032</v>
      </c>
      <c r="R22" s="2">
        <f t="shared" si="11"/>
        <v>88.717906826809269</v>
      </c>
      <c r="S22" s="2">
        <f t="shared" si="11"/>
        <v>139.67976652570206</v>
      </c>
    </row>
    <row r="23" spans="1:119" x14ac:dyDescent="0.2">
      <c r="B23" s="2" t="s">
        <v>19</v>
      </c>
      <c r="C23" s="2">
        <f>SUM(C20:C22)</f>
        <v>12.369999999999976</v>
      </c>
      <c r="D23" s="2">
        <f t="shared" ref="D23:J23" si="12">SUM(D20:D22)</f>
        <v>0</v>
      </c>
      <c r="E23" s="2">
        <f t="shared" si="12"/>
        <v>0</v>
      </c>
      <c r="F23" s="2">
        <f t="shared" si="12"/>
        <v>0</v>
      </c>
      <c r="G23" s="2">
        <f t="shared" si="12"/>
        <v>60.6</v>
      </c>
      <c r="H23" s="2">
        <f t="shared" si="12"/>
        <v>70</v>
      </c>
      <c r="I23" s="2">
        <f t="shared" si="12"/>
        <v>540</v>
      </c>
      <c r="J23" s="2">
        <f t="shared" si="12"/>
        <v>540</v>
      </c>
      <c r="L23" s="2">
        <f>SUM(L20:L22)</f>
        <v>-65.699999999999989</v>
      </c>
      <c r="M23" s="2">
        <f t="shared" ref="M23:S23" si="13">SUM(M20:M22)</f>
        <v>-21.499999999999979</v>
      </c>
      <c r="N23" s="2">
        <f t="shared" si="13"/>
        <v>71.700000000000088</v>
      </c>
      <c r="O23" s="2">
        <f t="shared" si="13"/>
        <v>311.2346000000004</v>
      </c>
      <c r="P23" s="2">
        <f t="shared" si="13"/>
        <v>477.82327980000048</v>
      </c>
      <c r="Q23" s="2">
        <f t="shared" si="13"/>
        <v>714.746787418297</v>
      </c>
      <c r="R23" s="2">
        <f t="shared" si="13"/>
        <v>1048.5979361912096</v>
      </c>
      <c r="S23" s="2">
        <f t="shared" si="13"/>
        <v>1515.4235133712202</v>
      </c>
    </row>
    <row r="24" spans="1:119" x14ac:dyDescent="0.2">
      <c r="B24" s="2" t="s">
        <v>20</v>
      </c>
      <c r="C24" s="2">
        <v>1.28</v>
      </c>
      <c r="G24" s="2">
        <v>11</v>
      </c>
      <c r="L24" s="2">
        <v>0</v>
      </c>
      <c r="M24" s="2">
        <v>2</v>
      </c>
      <c r="N24" s="2">
        <v>-54.3</v>
      </c>
      <c r="O24" s="2">
        <f>O23*O30</f>
        <v>59.134574000000079</v>
      </c>
      <c r="P24" s="2">
        <f t="shared" ref="P24:S24" si="14">P23*P30</f>
        <v>90.786423162000091</v>
      </c>
      <c r="Q24" s="2">
        <f t="shared" si="14"/>
        <v>135.80188960947643</v>
      </c>
      <c r="R24" s="2">
        <f t="shared" si="14"/>
        <v>199.23360787632981</v>
      </c>
      <c r="S24" s="2">
        <f t="shared" si="14"/>
        <v>287.93046754053182</v>
      </c>
    </row>
    <row r="25" spans="1:119" s="4" customFormat="1" ht="15" x14ac:dyDescent="0.25">
      <c r="A25" s="2"/>
      <c r="B25" s="4" t="s">
        <v>21</v>
      </c>
      <c r="C25" s="4">
        <f>C23-C24</f>
        <v>11.089999999999977</v>
      </c>
      <c r="D25" s="4">
        <f t="shared" ref="D25:J25" si="15">D23-D24</f>
        <v>0</v>
      </c>
      <c r="E25" s="4">
        <f t="shared" si="15"/>
        <v>0</v>
      </c>
      <c r="F25" s="4">
        <f t="shared" si="15"/>
        <v>0</v>
      </c>
      <c r="G25" s="4">
        <f t="shared" si="15"/>
        <v>49.6</v>
      </c>
      <c r="H25" s="4">
        <f t="shared" si="15"/>
        <v>70</v>
      </c>
      <c r="I25" s="4">
        <f t="shared" si="15"/>
        <v>540</v>
      </c>
      <c r="J25" s="4">
        <f t="shared" si="15"/>
        <v>540</v>
      </c>
      <c r="L25" s="4">
        <f>L23-L24</f>
        <v>-65.699999999999989</v>
      </c>
      <c r="M25" s="4">
        <f t="shared" ref="M25:S25" si="16">M23-M24</f>
        <v>-23.499999999999979</v>
      </c>
      <c r="N25" s="4">
        <f t="shared" si="16"/>
        <v>126.00000000000009</v>
      </c>
      <c r="O25" s="4">
        <f t="shared" si="16"/>
        <v>252.10002600000033</v>
      </c>
      <c r="P25" s="4">
        <f t="shared" si="16"/>
        <v>387.03685663800036</v>
      </c>
      <c r="Q25" s="4">
        <f t="shared" si="16"/>
        <v>578.94489780882054</v>
      </c>
      <c r="R25" s="4">
        <f t="shared" si="16"/>
        <v>849.36432831487969</v>
      </c>
      <c r="S25" s="4">
        <f t="shared" si="16"/>
        <v>1227.4930458306885</v>
      </c>
      <c r="T25" s="4">
        <f>S25*(1+$V$31)</f>
        <v>1252.0429067473024</v>
      </c>
      <c r="U25" s="4">
        <f t="shared" ref="U25:CF25" si="17">T25*(1+$V$31)</f>
        <v>1277.0837648822485</v>
      </c>
      <c r="V25" s="4">
        <f t="shared" si="17"/>
        <v>1302.6254401798935</v>
      </c>
      <c r="W25" s="4">
        <f t="shared" si="17"/>
        <v>1328.6779489834914</v>
      </c>
      <c r="X25" s="4">
        <f t="shared" si="17"/>
        <v>1355.2515079631612</v>
      </c>
      <c r="Y25" s="4">
        <f t="shared" si="17"/>
        <v>1382.3565381224244</v>
      </c>
      <c r="Z25" s="4">
        <f t="shared" si="17"/>
        <v>1410.0036688848729</v>
      </c>
      <c r="AA25" s="4">
        <f t="shared" si="17"/>
        <v>1438.2037422625704</v>
      </c>
      <c r="AB25" s="4">
        <f t="shared" si="17"/>
        <v>1466.9678171078217</v>
      </c>
      <c r="AC25" s="4">
        <f t="shared" si="17"/>
        <v>1496.3071734499781</v>
      </c>
      <c r="AD25" s="4">
        <f t="shared" si="17"/>
        <v>1526.2333169189776</v>
      </c>
      <c r="AE25" s="4">
        <f t="shared" si="17"/>
        <v>1556.7579832573572</v>
      </c>
      <c r="AF25" s="4">
        <f t="shared" si="17"/>
        <v>1587.8931429225045</v>
      </c>
      <c r="AG25" s="4">
        <f t="shared" si="17"/>
        <v>1619.6510057809546</v>
      </c>
      <c r="AH25" s="4">
        <f t="shared" si="17"/>
        <v>1652.0440258965737</v>
      </c>
      <c r="AI25" s="4">
        <f t="shared" si="17"/>
        <v>1685.0849064145052</v>
      </c>
      <c r="AJ25" s="4">
        <f t="shared" si="17"/>
        <v>1718.7866045427954</v>
      </c>
      <c r="AK25" s="4">
        <f t="shared" si="17"/>
        <v>1753.1623366336514</v>
      </c>
      <c r="AL25" s="4">
        <f t="shared" si="17"/>
        <v>1788.2255833663244</v>
      </c>
      <c r="AM25" s="4">
        <f t="shared" si="17"/>
        <v>1823.990095033651</v>
      </c>
      <c r="AN25" s="4">
        <f t="shared" si="17"/>
        <v>1860.469896934324</v>
      </c>
      <c r="AO25" s="4">
        <f t="shared" si="17"/>
        <v>1897.6792948730106</v>
      </c>
      <c r="AP25" s="4">
        <f t="shared" si="17"/>
        <v>1935.6328807704708</v>
      </c>
      <c r="AQ25" s="4">
        <f t="shared" si="17"/>
        <v>1974.3455383858802</v>
      </c>
      <c r="AR25" s="4">
        <f t="shared" si="17"/>
        <v>2013.832449153598</v>
      </c>
      <c r="AS25" s="4">
        <f t="shared" si="17"/>
        <v>2054.1090981366701</v>
      </c>
      <c r="AT25" s="4">
        <f t="shared" si="17"/>
        <v>2095.1912800994037</v>
      </c>
      <c r="AU25" s="4">
        <f t="shared" si="17"/>
        <v>2137.0951057013917</v>
      </c>
      <c r="AV25" s="4">
        <f t="shared" si="17"/>
        <v>2179.8370078154194</v>
      </c>
      <c r="AW25" s="4">
        <f t="shared" si="17"/>
        <v>2223.4337479717278</v>
      </c>
      <c r="AX25" s="4">
        <f t="shared" si="17"/>
        <v>2267.9024229311626</v>
      </c>
      <c r="AY25" s="4">
        <f t="shared" si="17"/>
        <v>2313.2604713897858</v>
      </c>
      <c r="AZ25" s="4">
        <f t="shared" si="17"/>
        <v>2359.5256808175818</v>
      </c>
      <c r="BA25" s="4">
        <f t="shared" si="17"/>
        <v>2406.7161944339337</v>
      </c>
      <c r="BB25" s="4">
        <f t="shared" si="17"/>
        <v>2454.8505183226125</v>
      </c>
      <c r="BC25" s="4">
        <f t="shared" si="17"/>
        <v>2503.9475286890647</v>
      </c>
      <c r="BD25" s="4">
        <f t="shared" si="17"/>
        <v>2554.0264792628459</v>
      </c>
      <c r="BE25" s="4">
        <f t="shared" si="17"/>
        <v>2605.1070088481029</v>
      </c>
      <c r="BF25" s="4">
        <f t="shared" si="17"/>
        <v>2657.209149025065</v>
      </c>
      <c r="BG25" s="4">
        <f t="shared" si="17"/>
        <v>2710.3533320055662</v>
      </c>
      <c r="BH25" s="4">
        <f t="shared" si="17"/>
        <v>2764.5603986456777</v>
      </c>
      <c r="BI25" s="4">
        <f t="shared" si="17"/>
        <v>2819.8516066185912</v>
      </c>
      <c r="BJ25" s="4">
        <f t="shared" si="17"/>
        <v>2876.248638750963</v>
      </c>
      <c r="BK25" s="4">
        <f t="shared" si="17"/>
        <v>2933.7736115259822</v>
      </c>
      <c r="BL25" s="4">
        <f t="shared" si="17"/>
        <v>2992.4490837565018</v>
      </c>
      <c r="BM25" s="4">
        <f t="shared" si="17"/>
        <v>3052.298065431632</v>
      </c>
      <c r="BN25" s="4">
        <f t="shared" si="17"/>
        <v>3113.3440267402648</v>
      </c>
      <c r="BO25" s="4">
        <f t="shared" si="17"/>
        <v>3175.6109072750701</v>
      </c>
      <c r="BP25" s="4">
        <f t="shared" si="17"/>
        <v>3239.1231254205713</v>
      </c>
      <c r="BQ25" s="4">
        <f t="shared" si="17"/>
        <v>3303.9055879289826</v>
      </c>
      <c r="BR25" s="4">
        <f t="shared" si="17"/>
        <v>3369.9836996875624</v>
      </c>
      <c r="BS25" s="4">
        <f t="shared" si="17"/>
        <v>3437.3833736813135</v>
      </c>
      <c r="BT25" s="4">
        <f t="shared" si="17"/>
        <v>3506.1310411549398</v>
      </c>
      <c r="BU25" s="4">
        <f t="shared" si="17"/>
        <v>3576.2536619780385</v>
      </c>
      <c r="BV25" s="4">
        <f t="shared" si="17"/>
        <v>3647.7787352175992</v>
      </c>
      <c r="BW25" s="4">
        <f t="shared" si="17"/>
        <v>3720.7343099219511</v>
      </c>
      <c r="BX25" s="4">
        <f t="shared" si="17"/>
        <v>3795.1489961203902</v>
      </c>
      <c r="BY25" s="4">
        <f t="shared" si="17"/>
        <v>3871.0519760427978</v>
      </c>
      <c r="BZ25" s="4">
        <f t="shared" si="17"/>
        <v>3948.4730155636539</v>
      </c>
      <c r="CA25" s="4">
        <f t="shared" si="17"/>
        <v>4027.4424758749269</v>
      </c>
      <c r="CB25" s="4">
        <f t="shared" si="17"/>
        <v>4107.9913253924251</v>
      </c>
      <c r="CC25" s="4">
        <f t="shared" si="17"/>
        <v>4190.1511519002734</v>
      </c>
      <c r="CD25" s="4">
        <f t="shared" si="17"/>
        <v>4273.9541749382788</v>
      </c>
      <c r="CE25" s="4">
        <f t="shared" si="17"/>
        <v>4359.4332584370441</v>
      </c>
      <c r="CF25" s="4">
        <f t="shared" si="17"/>
        <v>4446.621923605785</v>
      </c>
      <c r="CG25" s="4">
        <f t="shared" ref="CG25:DO25" si="18">CF25*(1+$V$31)</f>
        <v>4535.5543620779008</v>
      </c>
      <c r="CH25" s="4">
        <f t="shared" si="18"/>
        <v>4626.2654493194586</v>
      </c>
      <c r="CI25" s="4">
        <f t="shared" si="18"/>
        <v>4718.7907583058477</v>
      </c>
      <c r="CJ25" s="4">
        <f t="shared" si="18"/>
        <v>4813.1665734719645</v>
      </c>
      <c r="CK25" s="4">
        <f t="shared" si="18"/>
        <v>4909.4299049414039</v>
      </c>
      <c r="CL25" s="4">
        <f t="shared" si="18"/>
        <v>5007.6185030402321</v>
      </c>
      <c r="CM25" s="4">
        <f t="shared" si="18"/>
        <v>5107.7708731010371</v>
      </c>
      <c r="CN25" s="4">
        <f t="shared" si="18"/>
        <v>5209.9262905630576</v>
      </c>
      <c r="CO25" s="4">
        <f t="shared" si="18"/>
        <v>5314.1248163743185</v>
      </c>
      <c r="CP25" s="4">
        <f t="shared" si="18"/>
        <v>5420.4073127018046</v>
      </c>
      <c r="CQ25" s="4">
        <f t="shared" si="18"/>
        <v>5528.8154589558408</v>
      </c>
      <c r="CR25" s="4">
        <f t="shared" si="18"/>
        <v>5639.3917681349576</v>
      </c>
      <c r="CS25" s="4">
        <f t="shared" si="18"/>
        <v>5752.1796034976569</v>
      </c>
      <c r="CT25" s="4">
        <f t="shared" si="18"/>
        <v>5867.2231955676098</v>
      </c>
      <c r="CU25" s="4">
        <f t="shared" si="18"/>
        <v>5984.567659478962</v>
      </c>
      <c r="CV25" s="4">
        <f t="shared" si="18"/>
        <v>6104.2590126685418</v>
      </c>
      <c r="CW25" s="4">
        <f t="shared" si="18"/>
        <v>6226.3441929219125</v>
      </c>
      <c r="CX25" s="4">
        <f t="shared" si="18"/>
        <v>6350.8710767803504</v>
      </c>
      <c r="CY25" s="4">
        <f t="shared" si="18"/>
        <v>6477.8884983159578</v>
      </c>
      <c r="CZ25" s="4">
        <f t="shared" si="18"/>
        <v>6607.4462682822768</v>
      </c>
      <c r="DA25" s="4">
        <f t="shared" si="18"/>
        <v>6739.5951936479223</v>
      </c>
      <c r="DB25" s="4">
        <f t="shared" si="18"/>
        <v>6874.3870975208811</v>
      </c>
      <c r="DC25" s="4">
        <f t="shared" si="18"/>
        <v>7011.8748394712984</v>
      </c>
      <c r="DD25" s="4">
        <f t="shared" si="18"/>
        <v>7152.1123362607241</v>
      </c>
      <c r="DE25" s="4">
        <f t="shared" si="18"/>
        <v>7295.1545829859388</v>
      </c>
      <c r="DF25" s="4">
        <f t="shared" si="18"/>
        <v>7441.0576746456572</v>
      </c>
      <c r="DG25" s="4">
        <f t="shared" si="18"/>
        <v>7589.8788281385705</v>
      </c>
      <c r="DH25" s="4">
        <f t="shared" si="18"/>
        <v>7741.6764047013421</v>
      </c>
      <c r="DI25" s="4">
        <f t="shared" si="18"/>
        <v>7896.5099327953694</v>
      </c>
      <c r="DJ25" s="4">
        <f t="shared" si="18"/>
        <v>8054.440131451277</v>
      </c>
      <c r="DK25" s="4">
        <f t="shared" si="18"/>
        <v>8215.5289340803029</v>
      </c>
      <c r="DL25" s="4">
        <f t="shared" si="18"/>
        <v>8379.8395127619096</v>
      </c>
      <c r="DM25" s="4">
        <f t="shared" si="18"/>
        <v>8547.436303017148</v>
      </c>
      <c r="DN25" s="4">
        <f t="shared" si="18"/>
        <v>8718.3850290774917</v>
      </c>
      <c r="DO25" s="4">
        <f t="shared" si="18"/>
        <v>8892.7527296590415</v>
      </c>
    </row>
    <row r="26" spans="1:119" x14ac:dyDescent="0.2">
      <c r="B26" s="2" t="s">
        <v>2</v>
      </c>
      <c r="L26" s="2">
        <v>204.5</v>
      </c>
      <c r="M26" s="2">
        <v>209.34</v>
      </c>
      <c r="N26" s="2">
        <v>236.8</v>
      </c>
      <c r="O26" s="2">
        <f>N26*1.1</f>
        <v>260.48</v>
      </c>
      <c r="P26" s="2">
        <f t="shared" ref="P26:S26" si="19">O26*1.1</f>
        <v>286.52800000000002</v>
      </c>
      <c r="Q26" s="2">
        <f t="shared" si="19"/>
        <v>315.18080000000003</v>
      </c>
      <c r="R26" s="2">
        <f t="shared" si="19"/>
        <v>346.69888000000009</v>
      </c>
      <c r="S26" s="2">
        <f t="shared" si="19"/>
        <v>381.3687680000001</v>
      </c>
    </row>
    <row r="27" spans="1:119" x14ac:dyDescent="0.2">
      <c r="B27" s="2" t="s">
        <v>22</v>
      </c>
      <c r="I27" s="8"/>
      <c r="L27" s="8">
        <f>L25/L26</f>
        <v>-0.32127139364303176</v>
      </c>
      <c r="M27" s="8">
        <f t="shared" ref="M27:N27" si="20">M25/M26</f>
        <v>-0.11225757141492299</v>
      </c>
      <c r="N27" s="8">
        <f t="shared" si="20"/>
        <v>0.53209459459459496</v>
      </c>
      <c r="O27" s="8">
        <f t="shared" ref="O27" si="21">O25/O26</f>
        <v>0.96782872389435004</v>
      </c>
      <c r="P27" s="8">
        <f t="shared" ref="P27" si="22">P25/P26</f>
        <v>1.3507819711790832</v>
      </c>
      <c r="Q27" s="8">
        <f t="shared" ref="Q27" si="23">Q25/Q26</f>
        <v>1.8368660077289622</v>
      </c>
      <c r="R27" s="8">
        <f t="shared" ref="R27" si="24">R25/R26</f>
        <v>2.4498617599078472</v>
      </c>
      <c r="S27" s="8">
        <f t="shared" ref="S27" si="25">S25/S26</f>
        <v>3.2186512080367531</v>
      </c>
    </row>
    <row r="29" spans="1:119" s="4" customFormat="1" ht="15" x14ac:dyDescent="0.25">
      <c r="A29" s="2"/>
      <c r="B29" s="4" t="s">
        <v>23</v>
      </c>
      <c r="G29" s="6">
        <f>G12/C12-1</f>
        <v>1.1063982746225736</v>
      </c>
      <c r="H29" s="6" t="e">
        <f>H12/D12-1</f>
        <v>#DIV/0!</v>
      </c>
      <c r="I29" s="6" t="e">
        <f t="shared" ref="I29:J29" si="26">I12/E12-1</f>
        <v>#DIV/0!</v>
      </c>
      <c r="J29" s="6" t="e">
        <f t="shared" si="26"/>
        <v>#DIV/0!</v>
      </c>
      <c r="M29" s="6">
        <f>M12/L12-1</f>
        <v>0.6549629910799013</v>
      </c>
      <c r="N29" s="6">
        <f t="shared" ref="N29:S29" si="27">N12/M12-1</f>
        <v>0.69323394495412849</v>
      </c>
      <c r="O29" s="6">
        <f t="shared" si="27"/>
        <v>0.60000000000000009</v>
      </c>
      <c r="P29" s="6">
        <f t="shared" si="27"/>
        <v>0.29000000000000004</v>
      </c>
      <c r="Q29" s="6">
        <f t="shared" si="27"/>
        <v>0.29000000000000004</v>
      </c>
      <c r="R29" s="6">
        <f t="shared" si="27"/>
        <v>0.29000000000000004</v>
      </c>
      <c r="S29" s="6">
        <f t="shared" si="27"/>
        <v>0.29000000000000004</v>
      </c>
    </row>
    <row r="30" spans="1:119" x14ac:dyDescent="0.2">
      <c r="B30" s="2" t="s">
        <v>24</v>
      </c>
      <c r="C30" s="7">
        <f>C24/C23</f>
        <v>0.10347615198059842</v>
      </c>
      <c r="D30" s="7" t="e">
        <f t="shared" ref="D30:J30" si="28">D24/D23</f>
        <v>#DIV/0!</v>
      </c>
      <c r="E30" s="7" t="e">
        <f t="shared" si="28"/>
        <v>#DIV/0!</v>
      </c>
      <c r="F30" s="7" t="e">
        <f t="shared" si="28"/>
        <v>#DIV/0!</v>
      </c>
      <c r="G30" s="7">
        <f t="shared" si="28"/>
        <v>0.18151815181518152</v>
      </c>
      <c r="H30" s="7">
        <f t="shared" si="28"/>
        <v>0</v>
      </c>
      <c r="I30" s="7">
        <f t="shared" si="28"/>
        <v>0</v>
      </c>
      <c r="J30" s="7">
        <f t="shared" si="28"/>
        <v>0</v>
      </c>
      <c r="L30" s="7">
        <f>L24/L23</f>
        <v>0</v>
      </c>
      <c r="M30" s="7">
        <f t="shared" ref="M30:N30" si="29">M24/M23</f>
        <v>-9.3023255813953584E-2</v>
      </c>
      <c r="N30" s="7">
        <f t="shared" si="29"/>
        <v>-0.75732217573221661</v>
      </c>
      <c r="O30" s="7">
        <v>0.19</v>
      </c>
      <c r="P30" s="7">
        <v>0.19</v>
      </c>
      <c r="Q30" s="7">
        <v>0.19</v>
      </c>
      <c r="R30" s="7">
        <v>0.19</v>
      </c>
      <c r="S30" s="7">
        <v>0.19</v>
      </c>
      <c r="U30" s="2" t="s">
        <v>29</v>
      </c>
      <c r="V30" s="9">
        <v>0.06</v>
      </c>
    </row>
    <row r="31" spans="1:119" x14ac:dyDescent="0.2">
      <c r="U31" s="2" t="s">
        <v>30</v>
      </c>
      <c r="V31" s="9">
        <v>0.02</v>
      </c>
    </row>
    <row r="32" spans="1:119" s="4" customFormat="1" ht="15" x14ac:dyDescent="0.25">
      <c r="A32" s="2"/>
      <c r="B32" s="4" t="s">
        <v>25</v>
      </c>
      <c r="C32" s="6">
        <f>C14/C12</f>
        <v>0.82358015815959751</v>
      </c>
      <c r="D32" s="6" t="e">
        <f t="shared" ref="D32:H32" si="30">D14/D12</f>
        <v>#DIV/0!</v>
      </c>
      <c r="E32" s="6" t="e">
        <f t="shared" si="30"/>
        <v>#DIV/0!</v>
      </c>
      <c r="F32" s="6" t="e">
        <f t="shared" si="30"/>
        <v>#DIV/0!</v>
      </c>
      <c r="G32" s="6">
        <f t="shared" si="30"/>
        <v>0.73498293515358359</v>
      </c>
      <c r="H32" s="6">
        <f t="shared" si="30"/>
        <v>1</v>
      </c>
      <c r="I32" s="6">
        <f t="shared" ref="I32:J32" si="31">I14/I12</f>
        <v>1</v>
      </c>
      <c r="J32" s="6">
        <f t="shared" si="31"/>
        <v>1</v>
      </c>
      <c r="L32" s="6">
        <f>L14/L12</f>
        <v>0.77566900740178402</v>
      </c>
      <c r="M32" s="6">
        <f t="shared" ref="M32:N32" si="32">M14/M12</f>
        <v>0.81995412844036697</v>
      </c>
      <c r="N32" s="6">
        <f t="shared" si="32"/>
        <v>0.79451405350491022</v>
      </c>
      <c r="O32" s="6">
        <f>N32*1.01</f>
        <v>0.80245919403995936</v>
      </c>
      <c r="P32" s="6">
        <f t="shared" ref="P32:S32" si="33">O32*1.01</f>
        <v>0.81048378598035897</v>
      </c>
      <c r="Q32" s="6">
        <f t="shared" si="33"/>
        <v>0.81858862384016262</v>
      </c>
      <c r="R32" s="6">
        <f t="shared" si="33"/>
        <v>0.82677451007856428</v>
      </c>
      <c r="S32" s="6">
        <f t="shared" si="33"/>
        <v>0.83504225517934993</v>
      </c>
      <c r="U32" s="2" t="s">
        <v>31</v>
      </c>
      <c r="V32" s="9">
        <v>0.09</v>
      </c>
    </row>
    <row r="33" spans="1:22" s="4" customFormat="1" ht="15" x14ac:dyDescent="0.25">
      <c r="A33" s="2"/>
      <c r="B33" s="2" t="s">
        <v>46</v>
      </c>
      <c r="C33" s="7">
        <f>C20/C12</f>
        <v>3.5478073328540534E-2</v>
      </c>
      <c r="D33" s="7" t="e">
        <f t="shared" ref="D33:H33" si="34">D20/D12</f>
        <v>#DIV/0!</v>
      </c>
      <c r="E33" s="7" t="e">
        <f t="shared" si="34"/>
        <v>#DIV/0!</v>
      </c>
      <c r="F33" s="7" t="e">
        <f t="shared" si="34"/>
        <v>#DIV/0!</v>
      </c>
      <c r="G33" s="7">
        <f t="shared" si="34"/>
        <v>9.8976109215017066E-2</v>
      </c>
      <c r="H33" s="7">
        <f t="shared" si="34"/>
        <v>0.12962962962962962</v>
      </c>
      <c r="I33" s="7">
        <f t="shared" ref="I33:J33" si="35">I20/I12</f>
        <v>1</v>
      </c>
      <c r="J33" s="7">
        <f t="shared" si="35"/>
        <v>1</v>
      </c>
      <c r="L33" s="7">
        <f>L20/L12</f>
        <v>-0.13038527234769404</v>
      </c>
      <c r="M33" s="7">
        <f t="shared" ref="M33:S33" si="36">M20/M12</f>
        <v>-3.3715596330275203E-2</v>
      </c>
      <c r="N33" s="7">
        <f t="shared" si="36"/>
        <v>4.1923467660006833E-2</v>
      </c>
      <c r="O33" s="7">
        <f t="shared" si="36"/>
        <v>0.1251276667795464</v>
      </c>
      <c r="P33" s="7">
        <f t="shared" si="36"/>
        <v>0.14669888926515423</v>
      </c>
      <c r="Q33" s="7">
        <f t="shared" si="36"/>
        <v>0.16807942505926199</v>
      </c>
      <c r="R33" s="7">
        <f t="shared" si="36"/>
        <v>0.18927549527328172</v>
      </c>
      <c r="S33" s="7">
        <f t="shared" si="36"/>
        <v>0.21029322067017298</v>
      </c>
      <c r="U33" s="4" t="s">
        <v>32</v>
      </c>
      <c r="V33" s="4">
        <f>NPV(V32,O25:XFD25)+Main!F6-Main!F7</f>
        <v>14273.79814165174</v>
      </c>
    </row>
    <row r="34" spans="1:22" x14ac:dyDescent="0.2">
      <c r="B34" s="2" t="s">
        <v>26</v>
      </c>
      <c r="C34" s="7">
        <f>C19/C12</f>
        <v>0.78810208483105693</v>
      </c>
      <c r="D34" s="7" t="e">
        <f t="shared" ref="D34:H34" si="37">D19/D12</f>
        <v>#DIV/0!</v>
      </c>
      <c r="E34" s="7" t="e">
        <f t="shared" si="37"/>
        <v>#DIV/0!</v>
      </c>
      <c r="F34" s="7" t="e">
        <f t="shared" si="37"/>
        <v>#DIV/0!</v>
      </c>
      <c r="G34" s="7">
        <f t="shared" si="37"/>
        <v>0.6360068259385665</v>
      </c>
      <c r="H34" s="7">
        <f t="shared" si="37"/>
        <v>0</v>
      </c>
      <c r="I34" s="7">
        <f t="shared" ref="I34:J34" si="38">I19/I12</f>
        <v>0</v>
      </c>
      <c r="J34" s="7">
        <f t="shared" si="38"/>
        <v>0</v>
      </c>
      <c r="L34" s="7">
        <f>L19/L12</f>
        <v>0.90605427974947805</v>
      </c>
      <c r="M34" s="7">
        <f t="shared" ref="M34:N34" si="39">M19/M12</f>
        <v>0.85366972477064218</v>
      </c>
      <c r="N34" s="7">
        <f t="shared" si="39"/>
        <v>0.75259058584490335</v>
      </c>
      <c r="O34" s="7">
        <f>N34*0.9</f>
        <v>0.67733152726041301</v>
      </c>
      <c r="P34" s="7">
        <f>O34*0.98</f>
        <v>0.66378489671520469</v>
      </c>
      <c r="Q34" s="7">
        <f t="shared" ref="Q34:S34" si="40">P34*0.98</f>
        <v>0.65050919878090063</v>
      </c>
      <c r="R34" s="7">
        <f t="shared" si="40"/>
        <v>0.63749901480528259</v>
      </c>
      <c r="S34" s="7">
        <f t="shared" si="40"/>
        <v>0.62474903450917696</v>
      </c>
      <c r="U34" s="2" t="s">
        <v>1</v>
      </c>
      <c r="V34" s="2">
        <f>V33/Main!F4</f>
        <v>63.770710546627981</v>
      </c>
    </row>
    <row r="35" spans="1:22" x14ac:dyDescent="0.2">
      <c r="M35" s="7"/>
      <c r="N35" s="7"/>
      <c r="O35" s="7"/>
      <c r="P35" s="7"/>
      <c r="Q35" s="7"/>
      <c r="R35" s="7"/>
      <c r="S35" s="7"/>
      <c r="U35" s="2" t="s">
        <v>33</v>
      </c>
      <c r="V35" s="7">
        <f>V34/Main!F3-1</f>
        <v>0.19420806267093593</v>
      </c>
    </row>
    <row r="36" spans="1:22" x14ac:dyDescent="0.2">
      <c r="B36" s="2" t="s">
        <v>27</v>
      </c>
      <c r="C36" s="2">
        <f>C37-C38</f>
        <v>0</v>
      </c>
      <c r="D36" s="2">
        <f t="shared" ref="D36:F36" si="41">D37-D38</f>
        <v>0</v>
      </c>
      <c r="E36" s="2">
        <f t="shared" si="41"/>
        <v>0</v>
      </c>
      <c r="F36" s="2">
        <f t="shared" si="41"/>
        <v>0</v>
      </c>
      <c r="G36" s="2">
        <f>G37-G38</f>
        <v>260.54999999999995</v>
      </c>
      <c r="H36" s="2">
        <f>H37-H38</f>
        <v>0</v>
      </c>
      <c r="I36" s="2">
        <f t="shared" ref="I36:J36" si="42">I37-I38</f>
        <v>0</v>
      </c>
      <c r="J36" s="2">
        <f t="shared" si="42"/>
        <v>0</v>
      </c>
      <c r="N36" s="2">
        <f>N37-N38</f>
        <v>260.54999999999995</v>
      </c>
      <c r="O36" s="2">
        <f>N36+O25</f>
        <v>512.65002600000025</v>
      </c>
      <c r="P36" s="2">
        <f t="shared" ref="P36:S36" si="43">O36+P25</f>
        <v>899.68688263800061</v>
      </c>
      <c r="Q36" s="2">
        <f t="shared" si="43"/>
        <v>1478.6317804468213</v>
      </c>
      <c r="R36" s="2">
        <f t="shared" si="43"/>
        <v>2327.9961087617012</v>
      </c>
      <c r="S36" s="2">
        <f t="shared" si="43"/>
        <v>3555.4891545923897</v>
      </c>
    </row>
    <row r="37" spans="1:22" x14ac:dyDescent="0.2">
      <c r="B37" s="2" t="s">
        <v>4</v>
      </c>
      <c r="G37" s="2">
        <f>273.7+48.9</f>
        <v>322.59999999999997</v>
      </c>
      <c r="N37" s="2">
        <f>273.7+48.9</f>
        <v>322.59999999999997</v>
      </c>
    </row>
    <row r="38" spans="1:22" x14ac:dyDescent="0.2">
      <c r="B38" s="2" t="s">
        <v>5</v>
      </c>
      <c r="G38" s="2">
        <f>59.65+2.4</f>
        <v>62.05</v>
      </c>
      <c r="N38" s="2">
        <f>59.65+2.4</f>
        <v>62.05</v>
      </c>
    </row>
    <row r="40" spans="1:22" x14ac:dyDescent="0.2">
      <c r="B40" s="2" t="s">
        <v>34</v>
      </c>
      <c r="L40" s="2">
        <v>-26.5</v>
      </c>
      <c r="M40" s="2">
        <v>73.5</v>
      </c>
      <c r="N40" s="2">
        <v>251.1</v>
      </c>
    </row>
    <row r="41" spans="1:22" x14ac:dyDescent="0.2">
      <c r="B41" s="2" t="s">
        <v>35</v>
      </c>
      <c r="L41" s="2">
        <v>35</v>
      </c>
      <c r="M41" s="2">
        <v>-12.1</v>
      </c>
      <c r="N41" s="2">
        <v>-19</v>
      </c>
    </row>
    <row r="42" spans="1:22" s="4" customFormat="1" ht="15" x14ac:dyDescent="0.25">
      <c r="A42" s="2"/>
      <c r="B42" s="4" t="s">
        <v>36</v>
      </c>
      <c r="L42" s="4">
        <f>L40-L41</f>
        <v>-61.5</v>
      </c>
      <c r="M42" s="4">
        <f t="shared" ref="M42:N42" si="44">M40-M41</f>
        <v>85.6</v>
      </c>
      <c r="N42" s="4">
        <f t="shared" si="44"/>
        <v>270.10000000000002</v>
      </c>
      <c r="O42" s="4">
        <f t="shared" ref="O42" si="45">O40-O41</f>
        <v>0</v>
      </c>
      <c r="P42" s="4">
        <f t="shared" ref="P42" si="46">P40-P41</f>
        <v>0</v>
      </c>
      <c r="Q42" s="4">
        <f t="shared" ref="Q42" si="47">Q40-Q41</f>
        <v>0</v>
      </c>
      <c r="R42" s="4">
        <f t="shared" ref="R42" si="48">R40-R41</f>
        <v>0</v>
      </c>
      <c r="S42" s="4">
        <f t="shared" ref="S42" si="49">S40-S41</f>
        <v>0</v>
      </c>
    </row>
  </sheetData>
  <hyperlinks>
    <hyperlink ref="A1" location="Main!A1" display="Main" xr:uid="{603E2C10-96AF-45BA-BAC3-1691949121F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2025-05-28T03:58:48Z</dcterms:created>
  <dcterms:modified xsi:type="dcterms:W3CDTF">2025-05-28T06:53:31Z</dcterms:modified>
</cp:coreProperties>
</file>