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61BF560-3BC3-430B-AA97-905F87106BEA}" xr6:coauthVersionLast="47" xr6:coauthVersionMax="47" xr10:uidLastSave="{00000000-0000-0000-0000-000000000000}"/>
  <bookViews>
    <workbookView xWindow="390" yWindow="390" windowWidth="19425" windowHeight="14595" activeTab="1" xr2:uid="{CC150222-A64E-41A9-970B-115CAE7D1B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7" i="2" l="1"/>
  <c r="S107" i="2"/>
  <c r="T107" i="2"/>
  <c r="U107" i="2"/>
  <c r="V107" i="2"/>
  <c r="W107" i="2"/>
  <c r="O97" i="2"/>
  <c r="P97" i="2" s="1"/>
  <c r="Q97" i="2" s="1"/>
  <c r="R97" i="2" s="1"/>
  <c r="S97" i="2" s="1"/>
  <c r="T97" i="2" s="1"/>
  <c r="U97" i="2" s="1"/>
  <c r="V97" i="2" s="1"/>
  <c r="W97" i="2" s="1"/>
  <c r="P19" i="2"/>
  <c r="Q19" i="2" s="1"/>
  <c r="R19" i="2" s="1"/>
  <c r="S11" i="2"/>
  <c r="R11" i="2"/>
  <c r="T9" i="2"/>
  <c r="U9" i="2" s="1"/>
  <c r="V9" i="2" s="1"/>
  <c r="W9" i="2" s="1"/>
  <c r="S9" i="2"/>
  <c r="R9" i="2"/>
  <c r="O25" i="2"/>
  <c r="P25" i="2"/>
  <c r="Q25" i="2"/>
  <c r="R25" i="2"/>
  <c r="S25" i="2"/>
  <c r="T25" i="2"/>
  <c r="U25" i="2"/>
  <c r="V25" i="2"/>
  <c r="W25" i="2"/>
  <c r="N25" i="2"/>
  <c r="N26" i="2"/>
  <c r="O26" i="2"/>
  <c r="P26" i="2"/>
  <c r="W10" i="2"/>
  <c r="O10" i="2"/>
  <c r="P10" i="2"/>
  <c r="Q10" i="2"/>
  <c r="R10" i="2" s="1"/>
  <c r="S10" i="2" s="1"/>
  <c r="T10" i="2" s="1"/>
  <c r="U10" i="2" s="1"/>
  <c r="V10" i="2" s="1"/>
  <c r="N10" i="2"/>
  <c r="O16" i="2"/>
  <c r="P16" i="2"/>
  <c r="Q16" i="2"/>
  <c r="R16" i="2"/>
  <c r="S16" i="2"/>
  <c r="T16" i="2"/>
  <c r="U16" i="2"/>
  <c r="V16" i="2"/>
  <c r="N16" i="2"/>
  <c r="O15" i="2"/>
  <c r="P15" i="2"/>
  <c r="Q15" i="2"/>
  <c r="R15" i="2"/>
  <c r="S15" i="2"/>
  <c r="T15" i="2"/>
  <c r="U15" i="2"/>
  <c r="V15" i="2"/>
  <c r="N15" i="2"/>
  <c r="O14" i="2"/>
  <c r="P14" i="2" s="1"/>
  <c r="Q14" i="2" s="1"/>
  <c r="R14" i="2" s="1"/>
  <c r="S14" i="2" s="1"/>
  <c r="T14" i="2" s="1"/>
  <c r="U14" i="2" s="1"/>
  <c r="V14" i="2" s="1"/>
  <c r="N14" i="2"/>
  <c r="O13" i="2"/>
  <c r="P13" i="2"/>
  <c r="Q13" i="2"/>
  <c r="R13" i="2"/>
  <c r="S13" i="2"/>
  <c r="T13" i="2"/>
  <c r="U13" i="2"/>
  <c r="V13" i="2"/>
  <c r="W13" i="2"/>
  <c r="N13" i="2"/>
  <c r="O17" i="2"/>
  <c r="P17" i="2"/>
  <c r="Q17" i="2"/>
  <c r="N17" i="2"/>
  <c r="O18" i="2"/>
  <c r="P18" i="2"/>
  <c r="Q18" i="2"/>
  <c r="R18" i="2"/>
  <c r="S18" i="2" s="1"/>
  <c r="T18" i="2" s="1"/>
  <c r="U18" i="2" s="1"/>
  <c r="V18" i="2" s="1"/>
  <c r="N18" i="2"/>
  <c r="O19" i="2"/>
  <c r="N19" i="2"/>
  <c r="O20" i="2"/>
  <c r="P20" i="2"/>
  <c r="Q20" i="2"/>
  <c r="N20" i="2"/>
  <c r="O21" i="2"/>
  <c r="P21" i="2"/>
  <c r="Q21" i="2"/>
  <c r="R21" i="2"/>
  <c r="S21" i="2"/>
  <c r="T21" i="2"/>
  <c r="U21" i="2"/>
  <c r="V21" i="2"/>
  <c r="N21" i="2"/>
  <c r="O24" i="2"/>
  <c r="P24" i="2"/>
  <c r="Q24" i="2"/>
  <c r="R24" i="2"/>
  <c r="S24" i="2"/>
  <c r="T24" i="2"/>
  <c r="U24" i="2" s="1"/>
  <c r="V24" i="2" s="1"/>
  <c r="N24" i="2"/>
  <c r="O23" i="2"/>
  <c r="P23" i="2"/>
  <c r="Q23" i="2"/>
  <c r="R23" i="2"/>
  <c r="S23" i="2"/>
  <c r="T23" i="2"/>
  <c r="U23" i="2"/>
  <c r="V23" i="2"/>
  <c r="N23" i="2"/>
  <c r="V22" i="2"/>
  <c r="O22" i="2"/>
  <c r="P22" i="2"/>
  <c r="Q22" i="2"/>
  <c r="R22" i="2"/>
  <c r="S22" i="2"/>
  <c r="T22" i="2"/>
  <c r="U22" i="2"/>
  <c r="N22" i="2"/>
  <c r="R12" i="2"/>
  <c r="S12" i="2"/>
  <c r="T12" i="2"/>
  <c r="U12" i="2"/>
  <c r="V12" i="2"/>
  <c r="O12" i="2"/>
  <c r="P12" i="2"/>
  <c r="Q12" i="2"/>
  <c r="N12" i="2"/>
  <c r="O9" i="2"/>
  <c r="P9" i="2"/>
  <c r="Q9" i="2"/>
  <c r="N9" i="2"/>
  <c r="O11" i="2"/>
  <c r="P11" i="2" s="1"/>
  <c r="N11" i="2"/>
  <c r="S46" i="2"/>
  <c r="W22" i="2"/>
  <c r="W23" i="2"/>
  <c r="M56" i="2"/>
  <c r="L56" i="2"/>
  <c r="M55" i="2"/>
  <c r="L55" i="2"/>
  <c r="N107" i="2"/>
  <c r="O107" i="2" s="1"/>
  <c r="P107" i="2" s="1"/>
  <c r="Q107" i="2" s="1"/>
  <c r="C52" i="2"/>
  <c r="D52" i="2"/>
  <c r="E52" i="2"/>
  <c r="F52" i="2"/>
  <c r="B52" i="2"/>
  <c r="N97" i="2"/>
  <c r="K112" i="2"/>
  <c r="M110" i="2"/>
  <c r="M112" i="2" s="1"/>
  <c r="L110" i="2"/>
  <c r="L109" i="2"/>
  <c r="M92" i="2"/>
  <c r="L92" i="2"/>
  <c r="K92" i="2"/>
  <c r="S19" i="2" l="1"/>
  <c r="R26" i="2"/>
  <c r="Q26" i="2"/>
  <c r="S26" i="2"/>
  <c r="S3" i="2" s="1"/>
  <c r="S47" i="2"/>
  <c r="T19" i="2"/>
  <c r="S48" i="2"/>
  <c r="S4" i="2"/>
  <c r="T46" i="2"/>
  <c r="S44" i="2"/>
  <c r="S2" i="2"/>
  <c r="U45" i="2"/>
  <c r="S45" i="2"/>
  <c r="T45" i="2"/>
  <c r="L112" i="2"/>
  <c r="M68" i="2"/>
  <c r="M70" i="2" s="1"/>
  <c r="M74" i="2" s="1"/>
  <c r="L68" i="2"/>
  <c r="L70" i="2" s="1"/>
  <c r="L74" i="2" s="1"/>
  <c r="M84" i="2"/>
  <c r="L84" i="2"/>
  <c r="M54" i="2"/>
  <c r="L54" i="2"/>
  <c r="S40" i="2" l="1"/>
  <c r="T26" i="2"/>
  <c r="T47" i="2"/>
  <c r="U19" i="2"/>
  <c r="T48" i="2"/>
  <c r="T4" i="2"/>
  <c r="U46" i="2"/>
  <c r="T44" i="2"/>
  <c r="T2" i="2"/>
  <c r="V45" i="2"/>
  <c r="W45" i="2"/>
  <c r="L85" i="2"/>
  <c r="L86" i="2" s="1"/>
  <c r="M85" i="2"/>
  <c r="M86" i="2" s="1"/>
  <c r="F55" i="2"/>
  <c r="N44" i="2"/>
  <c r="O44" i="2"/>
  <c r="P44" i="2"/>
  <c r="Q44" i="2"/>
  <c r="R44" i="2"/>
  <c r="N45" i="2"/>
  <c r="O45" i="2"/>
  <c r="P45" i="2"/>
  <c r="Q45" i="2"/>
  <c r="R45" i="2"/>
  <c r="N46" i="2"/>
  <c r="O46" i="2"/>
  <c r="P46" i="2"/>
  <c r="Q46" i="2"/>
  <c r="R46" i="2"/>
  <c r="N47" i="2"/>
  <c r="O47" i="2"/>
  <c r="P47" i="2"/>
  <c r="Q47" i="2"/>
  <c r="R47" i="2"/>
  <c r="N48" i="2"/>
  <c r="O48" i="2"/>
  <c r="P48" i="2"/>
  <c r="Q48" i="2"/>
  <c r="R48" i="2"/>
  <c r="M44" i="2"/>
  <c r="M45" i="2"/>
  <c r="M46" i="2"/>
  <c r="M47" i="2"/>
  <c r="M48" i="2"/>
  <c r="M18" i="2"/>
  <c r="L18" i="2"/>
  <c r="M16" i="2"/>
  <c r="L16" i="2"/>
  <c r="M15" i="2"/>
  <c r="L15" i="2"/>
  <c r="M14" i="2"/>
  <c r="L14" i="2"/>
  <c r="M13" i="2"/>
  <c r="L13" i="2"/>
  <c r="L10" i="2"/>
  <c r="M10" i="2"/>
  <c r="M25" i="2"/>
  <c r="L25" i="2"/>
  <c r="G26" i="2"/>
  <c r="F56" i="2"/>
  <c r="F58" i="2"/>
  <c r="D41" i="2"/>
  <c r="E41" i="2"/>
  <c r="F41" i="2"/>
  <c r="C41" i="2"/>
  <c r="F40" i="2"/>
  <c r="L31" i="2"/>
  <c r="M31" i="2"/>
  <c r="K31" i="2"/>
  <c r="K28" i="2"/>
  <c r="K50" i="2" s="1"/>
  <c r="C28" i="2"/>
  <c r="C50" i="2" s="1"/>
  <c r="D28" i="2"/>
  <c r="D50" i="2" s="1"/>
  <c r="E28" i="2"/>
  <c r="E50" i="2" s="1"/>
  <c r="C31" i="2"/>
  <c r="D31" i="2"/>
  <c r="E31" i="2"/>
  <c r="B31" i="2"/>
  <c r="B28" i="2"/>
  <c r="B50" i="2" s="1"/>
  <c r="F31" i="2"/>
  <c r="F28" i="2"/>
  <c r="F50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E6" i="1"/>
  <c r="E5" i="1"/>
  <c r="E4" i="1"/>
  <c r="E7" i="1" s="1"/>
  <c r="T40" i="2" l="1"/>
  <c r="T3" i="2"/>
  <c r="U26" i="2"/>
  <c r="U4" i="2" s="1"/>
  <c r="V19" i="2"/>
  <c r="U47" i="2"/>
  <c r="U48" i="2"/>
  <c r="W46" i="2"/>
  <c r="V46" i="2"/>
  <c r="U44" i="2"/>
  <c r="U2" i="2"/>
  <c r="H26" i="2"/>
  <c r="G52" i="2"/>
  <c r="F54" i="2"/>
  <c r="M26" i="2"/>
  <c r="L26" i="2"/>
  <c r="G33" i="2"/>
  <c r="G40" i="2"/>
  <c r="G41" i="2"/>
  <c r="E32" i="2"/>
  <c r="E34" i="2" s="1"/>
  <c r="C32" i="2"/>
  <c r="C51" i="2" s="1"/>
  <c r="D32" i="2"/>
  <c r="D34" i="2" s="1"/>
  <c r="F32" i="2"/>
  <c r="K32" i="2"/>
  <c r="B32" i="2"/>
  <c r="U40" i="2" l="1"/>
  <c r="U3" i="2"/>
  <c r="W26" i="2"/>
  <c r="V26" i="2"/>
  <c r="V47" i="2"/>
  <c r="W47" i="2"/>
  <c r="V48" i="2"/>
  <c r="V4" i="2"/>
  <c r="W48" i="2"/>
  <c r="V44" i="2"/>
  <c r="W44" i="2"/>
  <c r="V2" i="2"/>
  <c r="M4" i="2"/>
  <c r="M2" i="2"/>
  <c r="M3" i="2"/>
  <c r="I26" i="2"/>
  <c r="I52" i="2" s="1"/>
  <c r="H52" i="2"/>
  <c r="L28" i="2"/>
  <c r="L88" i="2"/>
  <c r="M88" i="2"/>
  <c r="M40" i="2"/>
  <c r="L40" i="2"/>
  <c r="L32" i="2"/>
  <c r="L34" i="2" s="1"/>
  <c r="L36" i="2" s="1"/>
  <c r="L50" i="2"/>
  <c r="L3" i="2"/>
  <c r="L2" i="2"/>
  <c r="L4" i="2"/>
  <c r="M28" i="2"/>
  <c r="E51" i="2"/>
  <c r="D51" i="2"/>
  <c r="G27" i="2"/>
  <c r="G30" i="2"/>
  <c r="G29" i="2"/>
  <c r="C34" i="2"/>
  <c r="C42" i="2" s="1"/>
  <c r="H41" i="2"/>
  <c r="H40" i="2"/>
  <c r="F34" i="2"/>
  <c r="F51" i="2"/>
  <c r="D36" i="2"/>
  <c r="D38" i="2" s="1"/>
  <c r="D42" i="2"/>
  <c r="B34" i="2"/>
  <c r="B51" i="2"/>
  <c r="E36" i="2"/>
  <c r="E38" i="2" s="1"/>
  <c r="E42" i="2"/>
  <c r="K34" i="2"/>
  <c r="K51" i="2"/>
  <c r="W40" i="2" l="1"/>
  <c r="W2" i="2"/>
  <c r="W3" i="2"/>
  <c r="W4" i="2"/>
  <c r="V40" i="2"/>
  <c r="V3" i="2"/>
  <c r="L42" i="2"/>
  <c r="N3" i="2"/>
  <c r="N4" i="2"/>
  <c r="N2" i="2"/>
  <c r="L51" i="2"/>
  <c r="L37" i="2"/>
  <c r="L90" i="2"/>
  <c r="L106" i="2" s="1"/>
  <c r="L113" i="2" s="1"/>
  <c r="L52" i="2" s="1"/>
  <c r="C36" i="2"/>
  <c r="C38" i="2" s="1"/>
  <c r="M50" i="2"/>
  <c r="M32" i="2"/>
  <c r="H29" i="2"/>
  <c r="G31" i="2"/>
  <c r="H30" i="2"/>
  <c r="H27" i="2"/>
  <c r="G28" i="2"/>
  <c r="N40" i="2"/>
  <c r="I40" i="2"/>
  <c r="I41" i="2"/>
  <c r="K36" i="2"/>
  <c r="K42" i="2"/>
  <c r="B36" i="2"/>
  <c r="B38" i="2" s="1"/>
  <c r="B42" i="2"/>
  <c r="F36" i="2"/>
  <c r="F38" i="2" s="1"/>
  <c r="F42" i="2"/>
  <c r="N100" i="2" l="1"/>
  <c r="N96" i="2"/>
  <c r="N99" i="2"/>
  <c r="O3" i="2"/>
  <c r="O2" i="2"/>
  <c r="O4" i="2"/>
  <c r="N101" i="2"/>
  <c r="N98" i="2"/>
  <c r="N109" i="2"/>
  <c r="N95" i="2"/>
  <c r="N108" i="2"/>
  <c r="N102" i="2"/>
  <c r="N111" i="2"/>
  <c r="N94" i="2"/>
  <c r="N110" i="2"/>
  <c r="N93" i="2"/>
  <c r="O93" i="2" s="1"/>
  <c r="N105" i="2"/>
  <c r="N104" i="2"/>
  <c r="N92" i="2"/>
  <c r="O92" i="2" s="1"/>
  <c r="P92" i="2" s="1"/>
  <c r="Q92" i="2" s="1"/>
  <c r="K37" i="2"/>
  <c r="K90" i="2"/>
  <c r="K106" i="2" s="1"/>
  <c r="K113" i="2" s="1"/>
  <c r="K52" i="2" s="1"/>
  <c r="M51" i="2"/>
  <c r="M34" i="2"/>
  <c r="G50" i="2"/>
  <c r="G32" i="2"/>
  <c r="I27" i="2"/>
  <c r="H28" i="2"/>
  <c r="I30" i="2"/>
  <c r="N30" i="2" s="1"/>
  <c r="I29" i="2"/>
  <c r="I31" i="2" s="1"/>
  <c r="H31" i="2"/>
  <c r="O40" i="2"/>
  <c r="O104" i="2" l="1"/>
  <c r="O105" i="2"/>
  <c r="P2" i="2"/>
  <c r="P3" i="2"/>
  <c r="P4" i="2"/>
  <c r="O110" i="2"/>
  <c r="O108" i="2"/>
  <c r="N112" i="2"/>
  <c r="O103" i="2"/>
  <c r="O94" i="2"/>
  <c r="O111" i="2"/>
  <c r="O102" i="2"/>
  <c r="O95" i="2"/>
  <c r="O96" i="2"/>
  <c r="O109" i="2"/>
  <c r="O98" i="2"/>
  <c r="P98" i="2" s="1"/>
  <c r="O99" i="2"/>
  <c r="O100" i="2"/>
  <c r="O101" i="2"/>
  <c r="M36" i="2"/>
  <c r="M42" i="2"/>
  <c r="N29" i="2"/>
  <c r="O29" i="2" s="1"/>
  <c r="O30" i="2"/>
  <c r="H50" i="2"/>
  <c r="H32" i="2"/>
  <c r="H51" i="2" s="1"/>
  <c r="I28" i="2"/>
  <c r="N27" i="2"/>
  <c r="G34" i="2"/>
  <c r="G51" i="2"/>
  <c r="P40" i="2"/>
  <c r="P96" i="2" l="1"/>
  <c r="P100" i="2"/>
  <c r="P99" i="2"/>
  <c r="Q2" i="2"/>
  <c r="Q3" i="2"/>
  <c r="Q4" i="2"/>
  <c r="P110" i="2"/>
  <c r="P102" i="2"/>
  <c r="P95" i="2"/>
  <c r="P105" i="2"/>
  <c r="P109" i="2"/>
  <c r="P111" i="2"/>
  <c r="P94" i="2"/>
  <c r="P103" i="2"/>
  <c r="P93" i="2"/>
  <c r="P104" i="2"/>
  <c r="P101" i="2"/>
  <c r="P108" i="2"/>
  <c r="O112" i="2"/>
  <c r="M37" i="2"/>
  <c r="M90" i="2"/>
  <c r="M106" i="2" s="1"/>
  <c r="M113" i="2" s="1"/>
  <c r="M52" i="2" s="1"/>
  <c r="P30" i="2"/>
  <c r="N31" i="2"/>
  <c r="G35" i="2"/>
  <c r="G36" i="2" s="1"/>
  <c r="I50" i="2"/>
  <c r="I32" i="2"/>
  <c r="I51" i="2" s="1"/>
  <c r="P29" i="2"/>
  <c r="O31" i="2"/>
  <c r="O27" i="2"/>
  <c r="N28" i="2"/>
  <c r="Q40" i="2"/>
  <c r="Q101" i="2" l="1"/>
  <c r="R3" i="2"/>
  <c r="R4" i="2"/>
  <c r="R2" i="2"/>
  <c r="Q30" i="2"/>
  <c r="Q93" i="2"/>
  <c r="Q111" i="2"/>
  <c r="Q94" i="2"/>
  <c r="Q108" i="2"/>
  <c r="P112" i="2"/>
  <c r="Q104" i="2"/>
  <c r="Q103" i="2"/>
  <c r="Q109" i="2"/>
  <c r="Q99" i="2"/>
  <c r="Q105" i="2"/>
  <c r="Q95" i="2"/>
  <c r="Q96" i="2"/>
  <c r="Q98" i="2"/>
  <c r="Q102" i="2"/>
  <c r="Q100" i="2"/>
  <c r="Q110" i="2"/>
  <c r="P27" i="2"/>
  <c r="O28" i="2"/>
  <c r="Q29" i="2"/>
  <c r="P31" i="2"/>
  <c r="N32" i="2"/>
  <c r="N51" i="2" s="1"/>
  <c r="N50" i="2"/>
  <c r="G38" i="2"/>
  <c r="G54" i="2"/>
  <c r="R40" i="2"/>
  <c r="R30" i="2" s="1"/>
  <c r="S30" i="2" s="1"/>
  <c r="T30" i="2" s="1"/>
  <c r="U30" i="2" s="1"/>
  <c r="V30" i="2" s="1"/>
  <c r="W30" i="2" s="1"/>
  <c r="R95" i="2" l="1"/>
  <c r="S95" i="2" s="1"/>
  <c r="T95" i="2" s="1"/>
  <c r="U95" i="2" s="1"/>
  <c r="V95" i="2" s="1"/>
  <c r="W95" i="2" s="1"/>
  <c r="R92" i="2"/>
  <c r="S92" i="2" s="1"/>
  <c r="T92" i="2" s="1"/>
  <c r="U92" i="2" s="1"/>
  <c r="V92" i="2" s="1"/>
  <c r="W92" i="2" s="1"/>
  <c r="R102" i="2"/>
  <c r="S102" i="2" s="1"/>
  <c r="T102" i="2" s="1"/>
  <c r="U102" i="2" s="1"/>
  <c r="V102" i="2" s="1"/>
  <c r="W102" i="2" s="1"/>
  <c r="R98" i="2"/>
  <c r="S98" i="2" s="1"/>
  <c r="T98" i="2" s="1"/>
  <c r="U98" i="2" s="1"/>
  <c r="V98" i="2" s="1"/>
  <c r="W98" i="2" s="1"/>
  <c r="R96" i="2"/>
  <c r="S96" i="2" s="1"/>
  <c r="T96" i="2" s="1"/>
  <c r="U96" i="2" s="1"/>
  <c r="V96" i="2" s="1"/>
  <c r="W96" i="2" s="1"/>
  <c r="R105" i="2"/>
  <c r="S105" i="2" s="1"/>
  <c r="T105" i="2" s="1"/>
  <c r="U105" i="2" s="1"/>
  <c r="V105" i="2" s="1"/>
  <c r="W105" i="2" s="1"/>
  <c r="R109" i="2"/>
  <c r="S109" i="2" s="1"/>
  <c r="T109" i="2" s="1"/>
  <c r="U109" i="2" s="1"/>
  <c r="V109" i="2" s="1"/>
  <c r="W109" i="2" s="1"/>
  <c r="R103" i="2"/>
  <c r="S103" i="2" s="1"/>
  <c r="T103" i="2" s="1"/>
  <c r="U103" i="2" s="1"/>
  <c r="V103" i="2" s="1"/>
  <c r="W103" i="2" s="1"/>
  <c r="R99" i="2"/>
  <c r="S99" i="2" s="1"/>
  <c r="T99" i="2" s="1"/>
  <c r="U99" i="2" s="1"/>
  <c r="V99" i="2" s="1"/>
  <c r="W99" i="2" s="1"/>
  <c r="R104" i="2"/>
  <c r="S104" i="2" s="1"/>
  <c r="T104" i="2" s="1"/>
  <c r="U104" i="2" s="1"/>
  <c r="V104" i="2" s="1"/>
  <c r="W104" i="2" s="1"/>
  <c r="R108" i="2"/>
  <c r="S108" i="2" s="1"/>
  <c r="T108" i="2" s="1"/>
  <c r="Q112" i="2"/>
  <c r="R94" i="2"/>
  <c r="S94" i="2" s="1"/>
  <c r="T94" i="2" s="1"/>
  <c r="U94" i="2" s="1"/>
  <c r="V94" i="2" s="1"/>
  <c r="W94" i="2" s="1"/>
  <c r="R111" i="2"/>
  <c r="S111" i="2" s="1"/>
  <c r="R110" i="2"/>
  <c r="S110" i="2" s="1"/>
  <c r="T110" i="2" s="1"/>
  <c r="U110" i="2" s="1"/>
  <c r="V110" i="2" s="1"/>
  <c r="W110" i="2" s="1"/>
  <c r="R93" i="2"/>
  <c r="S93" i="2" s="1"/>
  <c r="T93" i="2" s="1"/>
  <c r="U93" i="2" s="1"/>
  <c r="V93" i="2" s="1"/>
  <c r="W93" i="2" s="1"/>
  <c r="R100" i="2"/>
  <c r="S100" i="2" s="1"/>
  <c r="T100" i="2" s="1"/>
  <c r="U100" i="2" s="1"/>
  <c r="V100" i="2" s="1"/>
  <c r="W100" i="2" s="1"/>
  <c r="R101" i="2"/>
  <c r="S101" i="2" s="1"/>
  <c r="T101" i="2" s="1"/>
  <c r="U101" i="2" s="1"/>
  <c r="V101" i="2" s="1"/>
  <c r="W101" i="2" s="1"/>
  <c r="H33" i="2"/>
  <c r="R29" i="2"/>
  <c r="Q31" i="2"/>
  <c r="O32" i="2"/>
  <c r="O51" i="2" s="1"/>
  <c r="O50" i="2"/>
  <c r="Q27" i="2"/>
  <c r="P28" i="2"/>
  <c r="S112" i="2" l="1"/>
  <c r="T111" i="2"/>
  <c r="U111" i="2" s="1"/>
  <c r="V111" i="2" s="1"/>
  <c r="W111" i="2" s="1"/>
  <c r="U108" i="2"/>
  <c r="T112" i="2"/>
  <c r="R31" i="2"/>
  <c r="S29" i="2"/>
  <c r="R112" i="2"/>
  <c r="R27" i="2"/>
  <c r="Q28" i="2"/>
  <c r="P50" i="2"/>
  <c r="P32" i="2"/>
  <c r="P51" i="2" s="1"/>
  <c r="H34" i="2"/>
  <c r="R28" i="2" l="1"/>
  <c r="S27" i="2"/>
  <c r="T29" i="2"/>
  <c r="S31" i="2"/>
  <c r="V108" i="2"/>
  <c r="U112" i="2"/>
  <c r="H35" i="2"/>
  <c r="H36" i="2" s="1"/>
  <c r="Q50" i="2"/>
  <c r="Q32" i="2"/>
  <c r="Q51" i="2" s="1"/>
  <c r="R32" i="2"/>
  <c r="R51" i="2" s="1"/>
  <c r="R50" i="2"/>
  <c r="V112" i="2" l="1"/>
  <c r="W108" i="2"/>
  <c r="W112" i="2" s="1"/>
  <c r="U29" i="2"/>
  <c r="T31" i="2"/>
  <c r="S28" i="2"/>
  <c r="T27" i="2"/>
  <c r="H38" i="2"/>
  <c r="H54" i="2"/>
  <c r="T28" i="2" l="1"/>
  <c r="U27" i="2"/>
  <c r="S50" i="2"/>
  <c r="S32" i="2"/>
  <c r="S51" i="2" s="1"/>
  <c r="V29" i="2"/>
  <c r="U31" i="2"/>
  <c r="I33" i="2"/>
  <c r="V31" i="2" l="1"/>
  <c r="W29" i="2"/>
  <c r="W31" i="2" s="1"/>
  <c r="V27" i="2"/>
  <c r="U28" i="2"/>
  <c r="T50" i="2"/>
  <c r="T32" i="2"/>
  <c r="T51" i="2" s="1"/>
  <c r="I34" i="2"/>
  <c r="N33" i="2"/>
  <c r="N34" i="2" s="1"/>
  <c r="U50" i="2" l="1"/>
  <c r="U32" i="2"/>
  <c r="U51" i="2" s="1"/>
  <c r="W27" i="2"/>
  <c r="W28" i="2" s="1"/>
  <c r="V28" i="2"/>
  <c r="I35" i="2"/>
  <c r="N35" i="2" s="1"/>
  <c r="N36" i="2" s="1"/>
  <c r="N90" i="2" s="1"/>
  <c r="N106" i="2" s="1"/>
  <c r="N113" i="2" s="1"/>
  <c r="N52" i="2" s="1"/>
  <c r="V50" i="2" l="1"/>
  <c r="V32" i="2"/>
  <c r="V51" i="2" s="1"/>
  <c r="W32" i="2"/>
  <c r="W51" i="2" s="1"/>
  <c r="W50" i="2"/>
  <c r="I36" i="2"/>
  <c r="I38" i="2" s="1"/>
  <c r="N38" i="2"/>
  <c r="I54" i="2" l="1"/>
  <c r="N54" i="2" s="1"/>
  <c r="O33" i="2" s="1"/>
  <c r="O34" i="2" s="1"/>
  <c r="O35" i="2" l="1"/>
  <c r="O36" i="2" s="1"/>
  <c r="O90" i="2" s="1"/>
  <c r="O106" i="2" s="1"/>
  <c r="O113" i="2" s="1"/>
  <c r="O52" i="2" s="1"/>
  <c r="O38" i="2" l="1"/>
  <c r="O54" i="2"/>
  <c r="P33" i="2" l="1"/>
  <c r="P34" i="2" s="1"/>
  <c r="P35" i="2" s="1"/>
  <c r="P36" i="2" s="1"/>
  <c r="P54" i="2" l="1"/>
  <c r="Q33" i="2" s="1"/>
  <c r="Q34" i="2" s="1"/>
  <c r="Q35" i="2" s="1"/>
  <c r="Q36" i="2" s="1"/>
  <c r="P90" i="2"/>
  <c r="P106" i="2" s="1"/>
  <c r="P113" i="2" s="1"/>
  <c r="P52" i="2" s="1"/>
  <c r="P38" i="2"/>
  <c r="Q54" i="2" l="1"/>
  <c r="R33" i="2" s="1"/>
  <c r="R34" i="2" s="1"/>
  <c r="R35" i="2" s="1"/>
  <c r="R36" i="2" s="1"/>
  <c r="R38" i="2" s="1"/>
  <c r="Q90" i="2"/>
  <c r="Q106" i="2" s="1"/>
  <c r="Q113" i="2" s="1"/>
  <c r="Q52" i="2" s="1"/>
  <c r="Q38" i="2"/>
  <c r="R54" i="2" l="1"/>
  <c r="S33" i="2"/>
  <c r="S34" i="2" s="1"/>
  <c r="R90" i="2"/>
  <c r="R106" i="2" s="1"/>
  <c r="R113" i="2" s="1"/>
  <c r="S35" i="2" l="1"/>
  <c r="S36" i="2" s="1"/>
  <c r="S90" i="2" s="1"/>
  <c r="S106" i="2" s="1"/>
  <c r="S113" i="2" s="1"/>
  <c r="R52" i="2"/>
  <c r="S38" i="2" l="1"/>
  <c r="S54" i="2"/>
  <c r="S52" i="2"/>
  <c r="T33" i="2" l="1"/>
  <c r="T34" i="2" s="1"/>
  <c r="T35" i="2" s="1"/>
  <c r="T36" i="2" s="1"/>
  <c r="T54" i="2" s="1"/>
  <c r="T38" i="2" l="1"/>
  <c r="T90" i="2"/>
  <c r="T106" i="2" s="1"/>
  <c r="T113" i="2" s="1"/>
  <c r="T52" i="2" s="1"/>
  <c r="U33" i="2"/>
  <c r="U34" i="2" s="1"/>
  <c r="U35" i="2" l="1"/>
  <c r="U36" i="2" s="1"/>
  <c r="U90" i="2" s="1"/>
  <c r="U106" i="2" s="1"/>
  <c r="U113" i="2" s="1"/>
  <c r="U52" i="2" s="1"/>
  <c r="U38" i="2" l="1"/>
  <c r="U54" i="2"/>
  <c r="V33" i="2" l="1"/>
  <c r="V34" i="2" s="1"/>
  <c r="V35" i="2" s="1"/>
  <c r="V36" i="2" s="1"/>
  <c r="V54" i="2" s="1"/>
  <c r="V38" i="2" l="1"/>
  <c r="V90" i="2"/>
  <c r="V106" i="2" s="1"/>
  <c r="V113" i="2" s="1"/>
  <c r="V52" i="2" s="1"/>
  <c r="W33" i="2"/>
  <c r="W34" i="2" s="1"/>
  <c r="W35" i="2" s="1"/>
  <c r="W36" i="2" s="1"/>
  <c r="W90" i="2" s="1"/>
  <c r="W106" i="2" s="1"/>
  <c r="W113" i="2" s="1"/>
  <c r="W54" i="2" l="1"/>
  <c r="X113" i="2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 s="1"/>
  <c r="AL113" i="2" s="1"/>
  <c r="AM113" i="2" s="1"/>
  <c r="AN113" i="2" s="1"/>
  <c r="AO113" i="2" s="1"/>
  <c r="AP113" i="2" s="1"/>
  <c r="AQ113" i="2" s="1"/>
  <c r="AR113" i="2" s="1"/>
  <c r="AS113" i="2" s="1"/>
  <c r="AT113" i="2" s="1"/>
  <c r="AU113" i="2" s="1"/>
  <c r="AV113" i="2" s="1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BK113" i="2" s="1"/>
  <c r="BL113" i="2" s="1"/>
  <c r="BM113" i="2" s="1"/>
  <c r="BN113" i="2" s="1"/>
  <c r="BO113" i="2" s="1"/>
  <c r="BP113" i="2" s="1"/>
  <c r="BQ113" i="2" s="1"/>
  <c r="BR113" i="2" s="1"/>
  <c r="BS113" i="2" s="1"/>
  <c r="BT113" i="2" s="1"/>
  <c r="BU113" i="2" s="1"/>
  <c r="BV113" i="2" s="1"/>
  <c r="BW113" i="2" s="1"/>
  <c r="BX113" i="2" s="1"/>
  <c r="BY113" i="2" s="1"/>
  <c r="BZ113" i="2" s="1"/>
  <c r="CA113" i="2" s="1"/>
  <c r="CB113" i="2" s="1"/>
  <c r="CC113" i="2" s="1"/>
  <c r="CD113" i="2" s="1"/>
  <c r="CE113" i="2" s="1"/>
  <c r="CF113" i="2" s="1"/>
  <c r="CG113" i="2" s="1"/>
  <c r="CH113" i="2" s="1"/>
  <c r="CI113" i="2" s="1"/>
  <c r="CJ113" i="2" s="1"/>
  <c r="CK113" i="2" s="1"/>
  <c r="CL113" i="2" s="1"/>
  <c r="CM113" i="2" s="1"/>
  <c r="CN113" i="2" s="1"/>
  <c r="CO113" i="2" s="1"/>
  <c r="CP113" i="2" s="1"/>
  <c r="CQ113" i="2" s="1"/>
  <c r="CR113" i="2" s="1"/>
  <c r="CS113" i="2" s="1"/>
  <c r="CT113" i="2" s="1"/>
  <c r="CU113" i="2" s="1"/>
  <c r="CV113" i="2" s="1"/>
  <c r="CW113" i="2" s="1"/>
  <c r="CX113" i="2" s="1"/>
  <c r="CY113" i="2" s="1"/>
  <c r="CZ113" i="2" s="1"/>
  <c r="DA113" i="2" s="1"/>
  <c r="DB113" i="2" s="1"/>
  <c r="DC113" i="2" s="1"/>
  <c r="DD113" i="2" s="1"/>
  <c r="DE113" i="2" s="1"/>
  <c r="DF113" i="2" s="1"/>
  <c r="DG113" i="2" s="1"/>
  <c r="DH113" i="2" s="1"/>
  <c r="DI113" i="2" s="1"/>
  <c r="DJ113" i="2" s="1"/>
  <c r="DK113" i="2" s="1"/>
  <c r="Z106" i="2" s="1"/>
  <c r="Z107" i="2" s="1"/>
  <c r="Z108" i="2" s="1"/>
  <c r="W52" i="2"/>
  <c r="W38" i="2"/>
  <c r="X36" i="2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tc={BEB33B97-0A35-4D36-A324-3F347D60BBF8}</author>
    <author>tc={B2FC9D23-7AE3-45FD-A7DD-A72AA6CEA661}</author>
    <author>tc={2DC5972C-B77A-4237-85F2-0DBD4E83C3B7}</author>
    <author>tc={C500BEB0-5DD6-411C-BB22-78295064A10F}</author>
    <author>tc={549A204D-10BB-432F-9377-F289F3FEB7FA}</author>
    <author>tc={08F442A1-E94E-4DF7-A297-B168EB7FF1BA}</author>
  </authors>
  <commentList>
    <comment ref="Q9" authorId="0" shapeId="0" xr:uid="{BEB33B97-0A35-4D36-A324-3F347D60BBF8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Q11" authorId="1" shapeId="0" xr:uid="{B2FC9D23-7AE3-45FD-A7DD-A72AA6CEA66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“previous 11B target, patent expires 2028 withdrew target bc of china”</t>
      </text>
    </comment>
    <comment ref="N31" authorId="2" shapeId="0" xr:uid="{2DC5972C-B77A-4237-85F2-0DBD4E83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25.4b - 26.5b non-GAAP OPEX</t>
      </text>
    </comment>
    <comment ref="N37" authorId="3" shapeId="0" xr:uid="{C500BEB0-5DD6-411C-BB22-78295064A10F}">
      <text>
        <t>[Threaded comment]
Your version of Excel allows you to read this threaded comment; however, any edits to it will get removed if the file is opened in a newer version of Excel. Learn more: https://go.microsoft.com/fwlink/?linkid=870924
Comment:
    2.53b guidance</t>
      </text>
    </comment>
    <comment ref="N38" authorId="4" shapeId="0" xr:uid="{549A204D-10BB-432F-9377-F289F3FEB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Non-gaap guidance 8.88 to 9.03</t>
      </text>
    </comment>
    <comment ref="N50" authorId="5" shapeId="0" xr:uid="{08F442A1-E94E-4DF7-A297-B168EB7FF1BA}">
      <text>
        <t>[Threaded comment]
Your version of Excel allows you to read this threaded comment; however, any edits to it will get removed if the file is opened in a newer version of Excel. Learn more: https://go.microsoft.com/fwlink/?linkid=870924
Comment:
    82.5% non GAAP gross margin</t>
      </text>
    </comment>
  </commentList>
</comments>
</file>

<file path=xl/sharedStrings.xml><?xml version="1.0" encoding="utf-8"?>
<sst xmlns="http://schemas.openxmlformats.org/spreadsheetml/2006/main" count="132" uniqueCount="115">
  <si>
    <t>MRK</t>
  </si>
  <si>
    <t>Price</t>
  </si>
  <si>
    <t>Shares</t>
  </si>
  <si>
    <t>MC</t>
  </si>
  <si>
    <t>Cash</t>
  </si>
  <si>
    <t>Debt</t>
  </si>
  <si>
    <t>EV</t>
  </si>
  <si>
    <t>COGS</t>
  </si>
  <si>
    <t>Sales</t>
  </si>
  <si>
    <t>Gross Profit</t>
  </si>
  <si>
    <t>SG&amp;A</t>
  </si>
  <si>
    <t>R&amp;D</t>
  </si>
  <si>
    <t>OPEX</t>
  </si>
  <si>
    <t>Operating Income</t>
  </si>
  <si>
    <t>Interest</t>
  </si>
  <si>
    <t>Pretax Income</t>
  </si>
  <si>
    <t>Tax</t>
  </si>
  <si>
    <t>Net Income</t>
  </si>
  <si>
    <t>EPS</t>
  </si>
  <si>
    <t>Tax Rate</t>
  </si>
  <si>
    <t>Gross Margin</t>
  </si>
  <si>
    <t>Operating Margin</t>
  </si>
  <si>
    <t>FCF Margin</t>
  </si>
  <si>
    <t>CFFO</t>
  </si>
  <si>
    <t>FCF</t>
  </si>
  <si>
    <t>Net Cash</t>
  </si>
  <si>
    <t>Q124</t>
  </si>
  <si>
    <t>Q224</t>
  </si>
  <si>
    <t>Q324</t>
  </si>
  <si>
    <t>Q424</t>
  </si>
  <si>
    <t>Q125</t>
  </si>
  <si>
    <t>Q225</t>
  </si>
  <si>
    <t>Revenue Growth q/q</t>
  </si>
  <si>
    <t>Revenue Growth y/y</t>
  </si>
  <si>
    <t>Q325</t>
  </si>
  <si>
    <t>Q425</t>
  </si>
  <si>
    <t>ROIC</t>
  </si>
  <si>
    <t>Maturity</t>
  </si>
  <si>
    <t>Discount</t>
  </si>
  <si>
    <t>NPV</t>
  </si>
  <si>
    <t>Diff</t>
  </si>
  <si>
    <t>Keytruda</t>
  </si>
  <si>
    <t>Gardasil</t>
  </si>
  <si>
    <t>"20b 2024-2028 capex"</t>
  </si>
  <si>
    <t>Januvia</t>
  </si>
  <si>
    <t>Royalties</t>
  </si>
  <si>
    <t>ProQuad/Varivax</t>
  </si>
  <si>
    <t>Hospital Acute Care</t>
  </si>
  <si>
    <t>Cardiovascular</t>
  </si>
  <si>
    <t>Other</t>
  </si>
  <si>
    <t>Oncology Other</t>
  </si>
  <si>
    <t>Vaccine Other</t>
  </si>
  <si>
    <t>Virology</t>
  </si>
  <si>
    <t>Belsomra</t>
  </si>
  <si>
    <t>Immunology</t>
  </si>
  <si>
    <t>Janumet</t>
  </si>
  <si>
    <t>Other Pharma</t>
  </si>
  <si>
    <t>Livestock</t>
  </si>
  <si>
    <t>Companion Animal</t>
  </si>
  <si>
    <t>"expanding manufacturing cap for oncology, vaccines, and animal health"</t>
  </si>
  <si>
    <t>Oncology % of R</t>
  </si>
  <si>
    <t>Vaccine % of R</t>
  </si>
  <si>
    <t>Animal Health % of R</t>
  </si>
  <si>
    <t>Keytruda Growth</t>
  </si>
  <si>
    <t>Januvia Growth</t>
  </si>
  <si>
    <t>Animal Health Growth</t>
  </si>
  <si>
    <t>Gardasil Growth</t>
  </si>
  <si>
    <t>ProQuad Growth</t>
  </si>
  <si>
    <t>Bridion</t>
  </si>
  <si>
    <t>AR</t>
  </si>
  <si>
    <t>Inventories</t>
  </si>
  <si>
    <t>Other Current Assets</t>
  </si>
  <si>
    <t>Investments</t>
  </si>
  <si>
    <t>PP&amp;E</t>
  </si>
  <si>
    <t>Land</t>
  </si>
  <si>
    <t>Buildings</t>
  </si>
  <si>
    <t>Machinery, Equipment</t>
  </si>
  <si>
    <t>Construction In Progress</t>
  </si>
  <si>
    <t>Accumulated Depreciation</t>
  </si>
  <si>
    <t>GW</t>
  </si>
  <si>
    <t>Other Intangibles</t>
  </si>
  <si>
    <t>Other Assets</t>
  </si>
  <si>
    <t>Loans Payable</t>
  </si>
  <si>
    <t>Trade AP</t>
  </si>
  <si>
    <t>Accured Current Liabilities</t>
  </si>
  <si>
    <t>Income Tax Payable</t>
  </si>
  <si>
    <t>Dividends Payable</t>
  </si>
  <si>
    <t>Long-Term Debt</t>
  </si>
  <si>
    <t>Short-term Investments</t>
  </si>
  <si>
    <t>DT</t>
  </si>
  <si>
    <t>Other Noncurrent Liabiltiies</t>
  </si>
  <si>
    <t>SE</t>
  </si>
  <si>
    <t>DSO</t>
  </si>
  <si>
    <t>Assets</t>
  </si>
  <si>
    <t>L+SE</t>
  </si>
  <si>
    <t>Liabilities</t>
  </si>
  <si>
    <t>MV of PP&amp;E</t>
  </si>
  <si>
    <t>Winrevair</t>
  </si>
  <si>
    <t>Model NI</t>
  </si>
  <si>
    <t>Reported NI</t>
  </si>
  <si>
    <t>D&amp;A</t>
  </si>
  <si>
    <t>Income from Investments</t>
  </si>
  <si>
    <t>R&amp;D asset acquisitions</t>
  </si>
  <si>
    <t>Noncurrent Liabilities</t>
  </si>
  <si>
    <t>CAPEX</t>
  </si>
  <si>
    <t>Purchase Securities</t>
  </si>
  <si>
    <t>Sale of Securities</t>
  </si>
  <si>
    <t>Acquisitions</t>
  </si>
  <si>
    <t>Net Cash Used in Investing</t>
  </si>
  <si>
    <t>Asset Impairment</t>
  </si>
  <si>
    <t>"animal health more than double revenue by mid 2030s"</t>
  </si>
  <si>
    <t>"annual sales by mid 2030s opportunity oncology: &gt;25B, cardiometabolic: 15B, Immunology: &gt;5B, HIV: &gt;5B, Ophthalmology: multibillion"</t>
  </si>
  <si>
    <t>HIV</t>
  </si>
  <si>
    <t>"keytruda, gardasil, proquad expires in 2028"</t>
  </si>
  <si>
    <t>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</si>
</sst>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3" fillId="0" borderId="0" xfId="0" applyNumberFormat="1" applyFont="1"/>
    <xf numFmtId="1" fontId="3" fillId="0" borderId="0" xfId="0" applyNumberFormat="1" applyFont="1"/>
    <xf numFmtId="9" fontId="3" fillId="0" borderId="0" xfId="0" applyNumberFormat="1" applyFont="1"/>
    <xf numFmtId="3" fontId="4" fillId="0" borderId="0" xfId="0" applyNumberFormat="1" applyFont="1"/>
    <xf numFmtId="4" fontId="3" fillId="0" borderId="0" xfId="0" applyNumberFormat="1" applyFont="1"/>
    <xf numFmtId="9" fontId="4" fillId="0" borderId="0" xfId="0" applyNumberFormat="1" applyFont="1"/>
    <xf numFmtId="164" fontId="3" fillId="0" borderId="0" xfId="0" applyNumberFormat="1" applyFont="1"/>
    <xf numFmtId="10" fontId="3" fillId="0" borderId="0" xfId="0" applyNumberFormat="1" applyFont="1"/>
    <xf numFmtId="0" fontId="4" fillId="0" borderId="0" xfId="0" applyFont="1"/>
    <xf numFmtId="0" fontId="3" fillId="0" borderId="0" xfId="0" applyFont="1"/>
    <xf numFmtId="3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19050</xdr:rowOff>
    </xdr:from>
    <xdr:to>
      <xdr:col>13</xdr:col>
      <xdr:colOff>19050</xdr:colOff>
      <xdr:row>124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497DE-044E-A07D-B786-BB45239EDF63}"/>
            </a:ext>
          </a:extLst>
        </xdr:cNvPr>
        <xdr:cNvCxnSpPr/>
      </xdr:nvCxnSpPr>
      <xdr:spPr>
        <a:xfrm>
          <a:off x="8791575" y="19050"/>
          <a:ext cx="19050" cy="22707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0</xdr:row>
      <xdr:rowOff>0</xdr:rowOff>
    </xdr:from>
    <xdr:to>
      <xdr:col>6</xdr:col>
      <xdr:colOff>28575</xdr:colOff>
      <xdr:row>77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080C8C-399D-427E-8E7F-364211E0ABC0}"/>
            </a:ext>
          </a:extLst>
        </xdr:cNvPr>
        <xdr:cNvCxnSpPr/>
      </xdr:nvCxnSpPr>
      <xdr:spPr>
        <a:xfrm>
          <a:off x="4162425" y="0"/>
          <a:ext cx="19050" cy="639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AE884F7-F7CD-4229-B1B0-CD6E7AA7897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9" dT="2025-05-30T23:08:53.39" personId="{3AE884F7-F7CD-4229-B1B0-CD6E7AA78978}" id="{BEB33B97-0A35-4D36-A324-3F347D60BBF8}">
    <text>expire</text>
  </threadedComment>
  <threadedComment ref="Q11" dT="2025-05-07T00:56:12.61" personId="{3AE884F7-F7CD-4229-B1B0-CD6E7AA78978}" id="{B2FC9D23-7AE3-45FD-A7DD-A72AA6CEA661}">
    <text>“previous 11B target, patent expires 2028 withdrew target bc of china”</text>
  </threadedComment>
  <threadedComment ref="N31" dT="2025-05-05T05:56:51.71" personId="{3AE884F7-F7CD-4229-B1B0-CD6E7AA78978}" id="{2DC5972C-B77A-4237-85F2-0DBD4E83C3B7}">
    <text>25.4b - 26.5b non-GAAP OPEX</text>
  </threadedComment>
  <threadedComment ref="N37" dT="2025-05-05T05:57:34.49" personId="{3AE884F7-F7CD-4229-B1B0-CD6E7AA78978}" id="{C500BEB0-5DD6-411C-BB22-78295064A10F}">
    <text>2.53b guidance</text>
  </threadedComment>
  <threadedComment ref="N38" dT="2025-05-05T05:57:48.11" personId="{3AE884F7-F7CD-4229-B1B0-CD6E7AA78978}" id="{549A204D-10BB-432F-9377-F289F3FEB7FA}">
    <text>Non-gaap guidance 8.88 to 9.03</text>
  </threadedComment>
  <threadedComment ref="N50" dT="2025-05-05T05:56:26.79" personId="{3AE884F7-F7CD-4229-B1B0-CD6E7AA78978}" id="{08F442A1-E94E-4DF7-A297-B168EB7FF1BA}">
    <text>82.5% non GAAP gross margin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D47-A04E-4917-B620-7B6E06119616}">
  <dimension ref="A1:I7"/>
  <sheetViews>
    <sheetView zoomScale="235" zoomScaleNormal="235" workbookViewId="0">
      <selection activeCell="E2" sqref="E2"/>
    </sheetView>
  </sheetViews>
  <sheetFormatPr defaultRowHeight="14.25" x14ac:dyDescent="0.2"/>
  <cols>
    <col min="1" max="16384" width="9.140625" style="10"/>
  </cols>
  <sheetData>
    <row r="1" spans="1:9" ht="15" x14ac:dyDescent="0.25">
      <c r="A1" s="9" t="s">
        <v>0</v>
      </c>
    </row>
    <row r="2" spans="1:9" x14ac:dyDescent="0.2">
      <c r="A2" s="10" t="s">
        <v>43</v>
      </c>
      <c r="D2" s="10" t="s">
        <v>1</v>
      </c>
      <c r="E2" s="5">
        <v>76.3</v>
      </c>
    </row>
    <row r="3" spans="1:9" x14ac:dyDescent="0.2">
      <c r="A3" s="10" t="s">
        <v>59</v>
      </c>
      <c r="D3" s="10" t="s">
        <v>2</v>
      </c>
      <c r="E3" s="1">
        <v>2511.0309999999999</v>
      </c>
      <c r="I3" s="10" t="s">
        <v>30</v>
      </c>
    </row>
    <row r="4" spans="1:9" x14ac:dyDescent="0.2">
      <c r="A4" s="10" t="s">
        <v>110</v>
      </c>
      <c r="D4" s="10" t="s">
        <v>3</v>
      </c>
      <c r="E4" s="1">
        <f>E3*E2</f>
        <v>191591.66529999999</v>
      </c>
    </row>
    <row r="5" spans="1:9" x14ac:dyDescent="0.2">
      <c r="A5" s="10" t="s">
        <v>111</v>
      </c>
      <c r="D5" s="10" t="s">
        <v>4</v>
      </c>
      <c r="E5" s="1">
        <f>8629+599</f>
        <v>9228</v>
      </c>
      <c r="I5" s="10" t="s">
        <v>30</v>
      </c>
    </row>
    <row r="6" spans="1:9" x14ac:dyDescent="0.2">
      <c r="A6" s="10" t="s">
        <v>113</v>
      </c>
      <c r="D6" s="10" t="s">
        <v>5</v>
      </c>
      <c r="E6" s="1">
        <f>33484+1409+6655</f>
        <v>41548</v>
      </c>
      <c r="I6" s="10" t="s">
        <v>30</v>
      </c>
    </row>
    <row r="7" spans="1:9" x14ac:dyDescent="0.2">
      <c r="D7" s="10" t="s">
        <v>6</v>
      </c>
      <c r="E7" s="1">
        <f>E4+E6-E5</f>
        <v>223911.66529999999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29B-216E-4138-97AB-BEC15EFD45A3}">
  <dimension ref="A1:DL113"/>
  <sheetViews>
    <sheetView tabSelected="1" zoomScaleNormal="10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X106" sqref="X106"/>
    </sheetView>
  </sheetViews>
  <sheetFormatPr defaultRowHeight="14.25" x14ac:dyDescent="0.2"/>
  <cols>
    <col min="1" max="1" width="21.7109375" style="1" customWidth="1"/>
    <col min="2" max="12" width="9.140625" style="1"/>
    <col min="13" max="13" width="9.5703125" style="1" bestFit="1" customWidth="1"/>
    <col min="14" max="16384" width="9.140625" style="1"/>
  </cols>
  <sheetData>
    <row r="1" spans="1:23" x14ac:dyDescent="0.2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34</v>
      </c>
      <c r="I1" s="1" t="s">
        <v>35</v>
      </c>
      <c r="K1" s="2">
        <v>2022</v>
      </c>
      <c r="L1" s="2">
        <f>K1+1</f>
        <v>2023</v>
      </c>
      <c r="M1" s="2">
        <f t="shared" ref="M1:R1" si="0">L1+1</f>
        <v>2024</v>
      </c>
      <c r="N1" s="2">
        <f t="shared" si="0"/>
        <v>2025</v>
      </c>
      <c r="O1" s="2">
        <f t="shared" si="0"/>
        <v>2026</v>
      </c>
      <c r="P1" s="2">
        <f t="shared" si="0"/>
        <v>2027</v>
      </c>
      <c r="Q1" s="2">
        <f t="shared" si="0"/>
        <v>2028</v>
      </c>
      <c r="R1" s="2">
        <f t="shared" si="0"/>
        <v>2029</v>
      </c>
      <c r="S1" s="2">
        <f t="shared" ref="S1" si="1">R1+1</f>
        <v>2030</v>
      </c>
      <c r="T1" s="2">
        <f t="shared" ref="T1" si="2">S1+1</f>
        <v>2031</v>
      </c>
      <c r="U1" s="2">
        <f t="shared" ref="U1" si="3">T1+1</f>
        <v>2032</v>
      </c>
      <c r="V1" s="2">
        <f t="shared" ref="V1" si="4">U1+1</f>
        <v>2033</v>
      </c>
      <c r="W1" s="2">
        <f t="shared" ref="W1" si="5">V1+1</f>
        <v>2034</v>
      </c>
    </row>
    <row r="2" spans="1:23" x14ac:dyDescent="0.2">
      <c r="A2" s="1" t="s">
        <v>60</v>
      </c>
      <c r="K2" s="2"/>
      <c r="L2" s="3">
        <f>SUM(L9:L10)/L26</f>
        <v>0.45912001996174001</v>
      </c>
      <c r="M2" s="3">
        <f t="shared" ref="M2:R2" si="6">SUM(M9:M10)/M26</f>
        <v>0.50933487096372021</v>
      </c>
      <c r="N2" s="3">
        <f t="shared" si="6"/>
        <v>0.51336284663004117</v>
      </c>
      <c r="O2" s="3">
        <f t="shared" si="6"/>
        <v>0.5165344210425532</v>
      </c>
      <c r="P2" s="3">
        <f t="shared" si="6"/>
        <v>0.51877599874123548</v>
      </c>
      <c r="Q2" s="3">
        <f t="shared" si="6"/>
        <v>0.52410629925445829</v>
      </c>
      <c r="R2" s="3">
        <f t="shared" si="6"/>
        <v>0.41760165244696229</v>
      </c>
      <c r="S2" s="3">
        <f t="shared" ref="S2:W2" si="7">SUM(S9:S10)/S26</f>
        <v>0.41842793071585987</v>
      </c>
      <c r="T2" s="3">
        <f t="shared" si="7"/>
        <v>0.40719922606485759</v>
      </c>
      <c r="U2" s="3">
        <f t="shared" si="7"/>
        <v>0.39102180269787529</v>
      </c>
      <c r="V2" s="3">
        <f t="shared" si="7"/>
        <v>0.37327322548771447</v>
      </c>
      <c r="W2" s="3">
        <f t="shared" si="7"/>
        <v>0.35808010877183782</v>
      </c>
    </row>
    <row r="3" spans="1:23" x14ac:dyDescent="0.2">
      <c r="A3" s="1" t="s">
        <v>61</v>
      </c>
      <c r="K3" s="2"/>
      <c r="L3" s="3">
        <f>SUM(L12:L13)/L26</f>
        <v>7.009897696082508E-2</v>
      </c>
      <c r="M3" s="3">
        <f t="shared" ref="M3:R3" si="8">SUM(M12:M13)/M26</f>
        <v>6.6497319536217431E-2</v>
      </c>
      <c r="N3" s="3">
        <f t="shared" si="8"/>
        <v>6.5799943392529259E-2</v>
      </c>
      <c r="O3" s="3">
        <f t="shared" si="8"/>
        <v>6.5080130143312667E-2</v>
      </c>
      <c r="P3" s="3">
        <f t="shared" si="8"/>
        <v>6.433140832117451E-2</v>
      </c>
      <c r="Q3" s="3">
        <f t="shared" si="8"/>
        <v>6.4046888897165005E-2</v>
      </c>
      <c r="R3" s="3">
        <f t="shared" si="8"/>
        <v>0.10149658849729989</v>
      </c>
      <c r="S3" s="3">
        <f t="shared" ref="S3:W3" si="9">SUM(S12:S13)/S26</f>
        <v>0.10183719529105614</v>
      </c>
      <c r="T3" s="3">
        <f t="shared" si="9"/>
        <v>9.9262640764079771E-2</v>
      </c>
      <c r="U3" s="3">
        <f t="shared" si="9"/>
        <v>9.5492308946187515E-2</v>
      </c>
      <c r="V3" s="3">
        <f t="shared" si="9"/>
        <v>9.1343360812853533E-2</v>
      </c>
      <c r="W3" s="3">
        <f t="shared" si="9"/>
        <v>8.6484287547413261E-2</v>
      </c>
    </row>
    <row r="4" spans="1:23" x14ac:dyDescent="0.2">
      <c r="A4" s="1" t="s">
        <v>62</v>
      </c>
      <c r="K4" s="2"/>
      <c r="L4" s="3">
        <f>SUM(L22:L23)/L26</f>
        <v>9.3570656242202441E-2</v>
      </c>
      <c r="M4" s="3">
        <f t="shared" ref="M4:R4" si="10">SUM(M22:M23)/M26</f>
        <v>9.1587707268420401E-2</v>
      </c>
      <c r="N4" s="3">
        <f t="shared" si="10"/>
        <v>9.1776821417944576E-2</v>
      </c>
      <c r="O4" s="3">
        <f t="shared" si="10"/>
        <v>9.1766060864101828E-2</v>
      </c>
      <c r="P4" s="3">
        <f t="shared" si="10"/>
        <v>9.1548054530088699E-2</v>
      </c>
      <c r="Q4" s="3">
        <f t="shared" si="10"/>
        <v>9.1833122449316615E-2</v>
      </c>
      <c r="R4" s="3">
        <f t="shared" si="10"/>
        <v>0.14639611094731786</v>
      </c>
      <c r="S4" s="3">
        <f t="shared" ref="S4:W4" si="11">SUM(S22:S23)/S26</f>
        <v>0.15237551548246211</v>
      </c>
      <c r="T4" s="3">
        <f t="shared" si="11"/>
        <v>0.15402599111200557</v>
      </c>
      <c r="U4" s="3">
        <f t="shared" si="11"/>
        <v>0.15361967905594051</v>
      </c>
      <c r="V4" s="3">
        <f t="shared" si="11"/>
        <v>0.15144052029419108</v>
      </c>
      <c r="W4" s="3">
        <f t="shared" si="11"/>
        <v>0.14587724193733573</v>
      </c>
    </row>
    <row r="5" spans="1:23" x14ac:dyDescent="0.2"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1" t="s">
        <v>112</v>
      </c>
      <c r="K6" s="2"/>
      <c r="L6" s="3"/>
      <c r="M6" s="3"/>
      <c r="N6" s="3"/>
      <c r="O6" s="3"/>
      <c r="P6" s="3"/>
      <c r="Q6" s="3"/>
      <c r="R6" s="3"/>
      <c r="S6" s="2"/>
      <c r="T6" s="2"/>
      <c r="U6" s="2"/>
      <c r="V6" s="2"/>
      <c r="W6" s="1">
        <v>5000</v>
      </c>
    </row>
    <row r="7" spans="1:23" x14ac:dyDescent="0.2">
      <c r="A7" s="1" t="s">
        <v>97</v>
      </c>
      <c r="K7" s="2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>
        <v>0</v>
      </c>
    </row>
    <row r="8" spans="1:23" x14ac:dyDescent="0.2">
      <c r="A8" s="1" t="s">
        <v>68</v>
      </c>
      <c r="F8" s="1">
        <v>441</v>
      </c>
      <c r="K8" s="2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>
        <v>0</v>
      </c>
    </row>
    <row r="9" spans="1:23" s="4" customFormat="1" ht="15" x14ac:dyDescent="0.25">
      <c r="A9" s="4" t="s">
        <v>41</v>
      </c>
      <c r="F9" s="4">
        <v>7205</v>
      </c>
      <c r="L9" s="4">
        <v>25011</v>
      </c>
      <c r="M9" s="4">
        <v>29482</v>
      </c>
      <c r="N9" s="4">
        <f>M9*1.09</f>
        <v>32135.38</v>
      </c>
      <c r="O9" s="4">
        <f t="shared" ref="O9:Q9" si="12">N9*1.09</f>
        <v>35027.564200000001</v>
      </c>
      <c r="P9" s="4">
        <f t="shared" si="12"/>
        <v>38180.044978000005</v>
      </c>
      <c r="Q9" s="4">
        <f t="shared" si="12"/>
        <v>41616.249026020007</v>
      </c>
      <c r="R9" s="4">
        <f>Q9*0.5</f>
        <v>20808.124513010003</v>
      </c>
      <c r="S9" s="4">
        <f>R9*1.04</f>
        <v>21640.449493530403</v>
      </c>
      <c r="T9" s="4">
        <f t="shared" ref="T9:W9" si="13">S9*1.04</f>
        <v>22506.067473271618</v>
      </c>
      <c r="U9" s="4">
        <f t="shared" si="13"/>
        <v>23406.310172202484</v>
      </c>
      <c r="V9" s="4">
        <f t="shared" si="13"/>
        <v>24342.562579090583</v>
      </c>
      <c r="W9" s="4">
        <f t="shared" si="13"/>
        <v>25316.265082254209</v>
      </c>
    </row>
    <row r="10" spans="1:23" x14ac:dyDescent="0.2">
      <c r="A10" s="1" t="s">
        <v>50</v>
      </c>
      <c r="L10" s="1">
        <f>1199+960+218+212</f>
        <v>2589</v>
      </c>
      <c r="M10" s="1">
        <f>1311+1010+509+371</f>
        <v>3201</v>
      </c>
      <c r="N10" s="1">
        <f>M10*1.01</f>
        <v>3233.01</v>
      </c>
      <c r="O10" s="1">
        <f t="shared" ref="O10:W10" si="14">N10*1.01</f>
        <v>3265.3401000000003</v>
      </c>
      <c r="P10" s="1">
        <f t="shared" si="14"/>
        <v>3297.9935010000004</v>
      </c>
      <c r="Q10" s="1">
        <f t="shared" si="14"/>
        <v>3330.9734360100006</v>
      </c>
      <c r="R10" s="1">
        <f t="shared" si="14"/>
        <v>3364.2831703701004</v>
      </c>
      <c r="S10" s="1">
        <f t="shared" si="14"/>
        <v>3397.9260020738016</v>
      </c>
      <c r="T10" s="1">
        <f t="shared" si="14"/>
        <v>3431.9052620945395</v>
      </c>
      <c r="U10" s="1">
        <f t="shared" si="14"/>
        <v>3466.224314715485</v>
      </c>
      <c r="V10" s="1">
        <f t="shared" si="14"/>
        <v>3500.8865578626401</v>
      </c>
      <c r="W10" s="1">
        <f t="shared" si="14"/>
        <v>3535.8954234412663</v>
      </c>
    </row>
    <row r="11" spans="1:23" s="4" customFormat="1" ht="15" x14ac:dyDescent="0.25">
      <c r="A11" s="4" t="s">
        <v>42</v>
      </c>
      <c r="F11" s="4">
        <v>1327</v>
      </c>
      <c r="L11" s="4">
        <v>8886</v>
      </c>
      <c r="M11" s="4">
        <v>8583</v>
      </c>
      <c r="N11" s="4">
        <f>M11*1.08</f>
        <v>9269.6400000000012</v>
      </c>
      <c r="O11" s="4">
        <f t="shared" ref="O11:P11" si="15">N11*1.08</f>
        <v>10011.211200000002</v>
      </c>
      <c r="P11" s="4">
        <f t="shared" si="15"/>
        <v>10812.108096000002</v>
      </c>
      <c r="Q11" s="4">
        <v>11000</v>
      </c>
      <c r="R11" s="4">
        <f>Q11*0.2</f>
        <v>2200</v>
      </c>
      <c r="S11" s="4">
        <f>R11*0.2</f>
        <v>440</v>
      </c>
      <c r="T11" s="4">
        <v>0</v>
      </c>
      <c r="U11" s="4">
        <v>0</v>
      </c>
      <c r="V11" s="4">
        <v>0</v>
      </c>
      <c r="W11" s="4">
        <v>0</v>
      </c>
    </row>
    <row r="12" spans="1:23" s="4" customFormat="1" ht="15" x14ac:dyDescent="0.25">
      <c r="A12" s="4" t="s">
        <v>46</v>
      </c>
      <c r="F12" s="4">
        <v>539</v>
      </c>
      <c r="L12" s="4">
        <v>2368</v>
      </c>
      <c r="M12" s="4">
        <v>2485</v>
      </c>
      <c r="N12" s="4">
        <f>M12*1.1</f>
        <v>2733.5</v>
      </c>
      <c r="O12" s="4">
        <f t="shared" ref="O12:R12" si="16">N12*1.1</f>
        <v>3006.8500000000004</v>
      </c>
      <c r="P12" s="4">
        <f t="shared" si="16"/>
        <v>3307.5350000000008</v>
      </c>
      <c r="Q12" s="4">
        <f t="shared" si="16"/>
        <v>3638.288500000001</v>
      </c>
      <c r="R12" s="4">
        <f t="shared" si="16"/>
        <v>4002.1173500000014</v>
      </c>
      <c r="S12" s="4">
        <f t="shared" ref="S12:V12" si="17">R12*1.05</f>
        <v>4202.2232175000017</v>
      </c>
      <c r="T12" s="4">
        <f t="shared" si="17"/>
        <v>4412.3343783750024</v>
      </c>
      <c r="U12" s="4">
        <f t="shared" si="17"/>
        <v>4632.9510972937524</v>
      </c>
      <c r="V12" s="4">
        <f t="shared" si="17"/>
        <v>4864.59865215844</v>
      </c>
      <c r="W12" s="4">
        <v>5000</v>
      </c>
    </row>
    <row r="13" spans="1:23" x14ac:dyDescent="0.2">
      <c r="A13" s="1" t="s">
        <v>51</v>
      </c>
      <c r="L13" s="1">
        <f>665+769+412</f>
        <v>1846</v>
      </c>
      <c r="M13" s="1">
        <f>808+711+263</f>
        <v>1782</v>
      </c>
      <c r="N13" s="1">
        <f>M13*1.01</f>
        <v>1799.82</v>
      </c>
      <c r="O13" s="1">
        <f t="shared" ref="O13:W13" si="18">N13*1.01</f>
        <v>1817.8181999999999</v>
      </c>
      <c r="P13" s="1">
        <f t="shared" si="18"/>
        <v>1835.996382</v>
      </c>
      <c r="Q13" s="1">
        <f t="shared" si="18"/>
        <v>1854.3563458200001</v>
      </c>
      <c r="R13" s="1">
        <f t="shared" si="18"/>
        <v>1872.8999092782001</v>
      </c>
      <c r="S13" s="1">
        <f t="shared" si="18"/>
        <v>1891.6289083709821</v>
      </c>
      <c r="T13" s="1">
        <f t="shared" si="18"/>
        <v>1910.545197454692</v>
      </c>
      <c r="U13" s="1">
        <f t="shared" si="18"/>
        <v>1929.6506494292389</v>
      </c>
      <c r="V13" s="1">
        <f t="shared" si="18"/>
        <v>1948.9471559235312</v>
      </c>
      <c r="W13" s="1">
        <f t="shared" si="18"/>
        <v>1968.4366274827667</v>
      </c>
    </row>
    <row r="14" spans="1:23" x14ac:dyDescent="0.2">
      <c r="A14" s="1" t="s">
        <v>47</v>
      </c>
      <c r="L14" s="1">
        <f>1842+605+302+218+213</f>
        <v>3180</v>
      </c>
      <c r="M14" s="1">
        <f>1764+785+340+252+177</f>
        <v>3318</v>
      </c>
      <c r="N14" s="1">
        <f>M14*1.02</f>
        <v>3384.36</v>
      </c>
      <c r="O14" s="1">
        <f t="shared" ref="O14:V14" si="19">N14*1.02</f>
        <v>3452.0472</v>
      </c>
      <c r="P14" s="1">
        <f t="shared" si="19"/>
        <v>3521.0881439999998</v>
      </c>
      <c r="Q14" s="1">
        <f t="shared" si="19"/>
        <v>3591.50990688</v>
      </c>
      <c r="R14" s="1">
        <f t="shared" si="19"/>
        <v>3663.3401050176003</v>
      </c>
      <c r="S14" s="1">
        <f t="shared" si="19"/>
        <v>3736.6069071179522</v>
      </c>
      <c r="T14" s="1">
        <f t="shared" si="19"/>
        <v>3811.3390452603112</v>
      </c>
      <c r="U14" s="1">
        <f t="shared" si="19"/>
        <v>3887.5658261655176</v>
      </c>
      <c r="V14" s="1">
        <f t="shared" si="19"/>
        <v>3965.317142688828</v>
      </c>
      <c r="W14" s="1">
        <v>4000</v>
      </c>
    </row>
    <row r="15" spans="1:23" x14ac:dyDescent="0.2">
      <c r="A15" s="1" t="s">
        <v>48</v>
      </c>
      <c r="L15" s="1">
        <f>367+255</f>
        <v>622</v>
      </c>
      <c r="M15" s="1">
        <f>419+415+287</f>
        <v>1121</v>
      </c>
      <c r="N15" s="1">
        <f>M15*1.3</f>
        <v>1457.3</v>
      </c>
      <c r="O15" s="1">
        <f t="shared" ref="O15:V15" si="20">N15*1.3</f>
        <v>1894.49</v>
      </c>
      <c r="P15" s="1">
        <f t="shared" si="20"/>
        <v>2462.837</v>
      </c>
      <c r="Q15" s="1">
        <f t="shared" si="20"/>
        <v>3201.6881000000003</v>
      </c>
      <c r="R15" s="1">
        <f t="shared" si="20"/>
        <v>4162.1945300000007</v>
      </c>
      <c r="S15" s="1">
        <f t="shared" si="20"/>
        <v>5410.8528890000007</v>
      </c>
      <c r="T15" s="1">
        <f t="shared" si="20"/>
        <v>7034.108755700001</v>
      </c>
      <c r="U15" s="1">
        <f t="shared" si="20"/>
        <v>9144.3413824100007</v>
      </c>
      <c r="V15" s="1">
        <f t="shared" si="20"/>
        <v>11887.643797133001</v>
      </c>
      <c r="W15" s="1">
        <v>15000</v>
      </c>
    </row>
    <row r="16" spans="1:23" x14ac:dyDescent="0.2">
      <c r="A16" s="1" t="s">
        <v>52</v>
      </c>
      <c r="L16" s="1">
        <f>1428+483+201+142</f>
        <v>2254</v>
      </c>
      <c r="M16" s="1">
        <f>964+394+249+163</f>
        <v>1770</v>
      </c>
      <c r="N16" s="1">
        <f>M16*1.01</f>
        <v>1787.7</v>
      </c>
      <c r="O16" s="1">
        <f t="shared" ref="O16:V16" si="21">N16*1.01</f>
        <v>1805.577</v>
      </c>
      <c r="P16" s="1">
        <f t="shared" si="21"/>
        <v>1823.6327699999999</v>
      </c>
      <c r="Q16" s="1">
        <f t="shared" si="21"/>
        <v>1841.8690976999999</v>
      </c>
      <c r="R16" s="1">
        <f t="shared" si="21"/>
        <v>1860.287788677</v>
      </c>
      <c r="S16" s="1">
        <f t="shared" si="21"/>
        <v>1878.8906665637701</v>
      </c>
      <c r="T16" s="1">
        <f t="shared" si="21"/>
        <v>1897.6795732294079</v>
      </c>
      <c r="U16" s="1">
        <f t="shared" si="21"/>
        <v>1916.6563689617019</v>
      </c>
      <c r="V16" s="1">
        <f t="shared" si="21"/>
        <v>1935.822932651319</v>
      </c>
      <c r="W16" s="1">
        <v>2000</v>
      </c>
    </row>
    <row r="17" spans="1:23" x14ac:dyDescent="0.2">
      <c r="A17" s="1" t="s">
        <v>53</v>
      </c>
      <c r="L17" s="1">
        <v>231</v>
      </c>
      <c r="M17" s="1">
        <v>222</v>
      </c>
      <c r="N17" s="1">
        <f>M17*1.05</f>
        <v>233.10000000000002</v>
      </c>
      <c r="O17" s="1">
        <f t="shared" ref="O17:Q17" si="22">N17*1.05</f>
        <v>244.75500000000002</v>
      </c>
      <c r="P17" s="1">
        <f t="shared" si="22"/>
        <v>256.99275000000006</v>
      </c>
      <c r="Q17" s="1">
        <f t="shared" si="22"/>
        <v>269.84238750000009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" t="s">
        <v>54</v>
      </c>
      <c r="L18" s="1">
        <f>710+187</f>
        <v>897</v>
      </c>
      <c r="M18" s="1">
        <f>543+114</f>
        <v>657</v>
      </c>
      <c r="N18" s="1">
        <f>M18*1.23</f>
        <v>808.11</v>
      </c>
      <c r="O18" s="1">
        <f t="shared" ref="O18:V18" si="23">N18*1.23</f>
        <v>993.97529999999995</v>
      </c>
      <c r="P18" s="1">
        <f t="shared" si="23"/>
        <v>1222.5896189999999</v>
      </c>
      <c r="Q18" s="1">
        <f t="shared" si="23"/>
        <v>1503.7852313699998</v>
      </c>
      <c r="R18" s="1">
        <f t="shared" si="23"/>
        <v>1849.6558345850997</v>
      </c>
      <c r="S18" s="1">
        <f t="shared" si="23"/>
        <v>2275.0766765396725</v>
      </c>
      <c r="T18" s="1">
        <f t="shared" si="23"/>
        <v>2798.3443121437972</v>
      </c>
      <c r="U18" s="1">
        <f t="shared" si="23"/>
        <v>3441.9635039368704</v>
      </c>
      <c r="V18" s="1">
        <f t="shared" si="23"/>
        <v>4233.6151098423506</v>
      </c>
      <c r="W18" s="1">
        <v>5000</v>
      </c>
    </row>
    <row r="19" spans="1:23" s="4" customFormat="1" ht="15" x14ac:dyDescent="0.25">
      <c r="A19" s="4" t="s">
        <v>44</v>
      </c>
      <c r="F19" s="4">
        <v>796</v>
      </c>
      <c r="L19" s="4">
        <v>2189</v>
      </c>
      <c r="M19" s="4">
        <v>1334</v>
      </c>
      <c r="N19" s="4">
        <f>M19*1.09</f>
        <v>1454.0600000000002</v>
      </c>
      <c r="O19" s="4">
        <f t="shared" ref="O19:V19" si="24">N19*1.09</f>
        <v>1584.9254000000003</v>
      </c>
      <c r="P19" s="4">
        <f t="shared" si="24"/>
        <v>1727.5686860000005</v>
      </c>
      <c r="Q19" s="4">
        <f t="shared" si="24"/>
        <v>1883.0498677400008</v>
      </c>
      <c r="R19" s="4">
        <f t="shared" si="24"/>
        <v>2052.524355836601</v>
      </c>
      <c r="S19" s="4">
        <f t="shared" si="24"/>
        <v>2237.2515478618952</v>
      </c>
      <c r="T19" s="4">
        <f t="shared" si="24"/>
        <v>2438.6041871694661</v>
      </c>
      <c r="U19" s="4">
        <f t="shared" si="24"/>
        <v>2658.0785640147183</v>
      </c>
      <c r="V19" s="4">
        <f t="shared" si="24"/>
        <v>2897.305634776043</v>
      </c>
      <c r="W19" s="4">
        <v>3000</v>
      </c>
    </row>
    <row r="20" spans="1:23" x14ac:dyDescent="0.2">
      <c r="A20" s="1" t="s">
        <v>55</v>
      </c>
      <c r="L20" s="1">
        <v>1177</v>
      </c>
      <c r="M20" s="1">
        <v>935</v>
      </c>
      <c r="N20" s="1">
        <f>M20*0.9</f>
        <v>841.5</v>
      </c>
      <c r="O20" s="1">
        <f t="shared" ref="O20:Q20" si="25">N20*0.9</f>
        <v>757.35</v>
      </c>
      <c r="P20" s="1">
        <f t="shared" si="25"/>
        <v>681.61500000000001</v>
      </c>
      <c r="Q20" s="1">
        <f t="shared" si="25"/>
        <v>613.45350000000008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" t="s">
        <v>56</v>
      </c>
      <c r="L21" s="1">
        <v>2333</v>
      </c>
      <c r="M21" s="1">
        <v>2510</v>
      </c>
      <c r="N21" s="1">
        <f>M21*1.01</f>
        <v>2535.1</v>
      </c>
      <c r="O21" s="1">
        <f t="shared" ref="O21:V21" si="26">N21*1.01</f>
        <v>2560.451</v>
      </c>
      <c r="P21" s="1">
        <f t="shared" si="26"/>
        <v>2586.0555100000001</v>
      </c>
      <c r="Q21" s="1">
        <f t="shared" si="26"/>
        <v>2611.9160651000002</v>
      </c>
      <c r="R21" s="1">
        <f t="shared" si="26"/>
        <v>2638.0352257510003</v>
      </c>
      <c r="S21" s="1">
        <f t="shared" si="26"/>
        <v>2664.4155780085102</v>
      </c>
      <c r="T21" s="1">
        <f t="shared" si="26"/>
        <v>2691.0597337885952</v>
      </c>
      <c r="U21" s="1">
        <f t="shared" si="26"/>
        <v>2717.9703311264811</v>
      </c>
      <c r="V21" s="1">
        <f t="shared" si="26"/>
        <v>2745.1500344377459</v>
      </c>
      <c r="W21" s="1">
        <v>3000</v>
      </c>
    </row>
    <row r="22" spans="1:23" s="4" customFormat="1" ht="15" x14ac:dyDescent="0.25">
      <c r="A22" s="4" t="s">
        <v>57</v>
      </c>
      <c r="F22" s="4">
        <v>924</v>
      </c>
      <c r="L22" s="4">
        <v>3337</v>
      </c>
      <c r="M22" s="4">
        <v>3462</v>
      </c>
      <c r="N22" s="4">
        <f>M22*1.08</f>
        <v>3738.96</v>
      </c>
      <c r="O22" s="4">
        <f t="shared" ref="O22:U22" si="27">N22*1.08</f>
        <v>4038.0768000000003</v>
      </c>
      <c r="P22" s="4">
        <f t="shared" si="27"/>
        <v>4361.1229440000006</v>
      </c>
      <c r="Q22" s="4">
        <f t="shared" si="27"/>
        <v>4710.0127795200015</v>
      </c>
      <c r="R22" s="4">
        <f t="shared" si="27"/>
        <v>5086.8138018816016</v>
      </c>
      <c r="S22" s="4">
        <f t="shared" si="27"/>
        <v>5493.7589060321297</v>
      </c>
      <c r="T22" s="4">
        <f t="shared" si="27"/>
        <v>5933.2596185147004</v>
      </c>
      <c r="U22" s="4">
        <f t="shared" si="27"/>
        <v>6407.9203879958768</v>
      </c>
      <c r="V22" s="4">
        <f>U22*1.07</f>
        <v>6856.4748151555887</v>
      </c>
      <c r="W22" s="4">
        <f>M22*2</f>
        <v>6924</v>
      </c>
    </row>
    <row r="23" spans="1:23" s="4" customFormat="1" ht="15" x14ac:dyDescent="0.25">
      <c r="A23" s="4" t="s">
        <v>58</v>
      </c>
      <c r="F23" s="4">
        <v>664</v>
      </c>
      <c r="L23" s="4">
        <v>2288</v>
      </c>
      <c r="M23" s="4">
        <v>2415</v>
      </c>
      <c r="N23" s="4">
        <f>M23*1.07</f>
        <v>2584.0500000000002</v>
      </c>
      <c r="O23" s="4">
        <f t="shared" ref="O23:V23" si="28">N23*1.07</f>
        <v>2764.9335000000005</v>
      </c>
      <c r="P23" s="4">
        <f t="shared" si="28"/>
        <v>2958.4788450000005</v>
      </c>
      <c r="Q23" s="4">
        <f t="shared" si="28"/>
        <v>3165.5723641500008</v>
      </c>
      <c r="R23" s="4">
        <f t="shared" si="28"/>
        <v>3387.1624296405012</v>
      </c>
      <c r="S23" s="4">
        <f t="shared" si="28"/>
        <v>3624.2637997153365</v>
      </c>
      <c r="T23" s="4">
        <f t="shared" si="28"/>
        <v>3877.9622656954102</v>
      </c>
      <c r="U23" s="4">
        <f t="shared" si="28"/>
        <v>4149.4196242940889</v>
      </c>
      <c r="V23" s="4">
        <f t="shared" si="28"/>
        <v>4439.878997994675</v>
      </c>
      <c r="W23" s="4">
        <f>M23*2</f>
        <v>4830</v>
      </c>
    </row>
    <row r="24" spans="1:23" x14ac:dyDescent="0.2">
      <c r="A24" s="1" t="s">
        <v>49</v>
      </c>
      <c r="L24" s="1">
        <v>907</v>
      </c>
      <c r="M24" s="1">
        <v>891</v>
      </c>
      <c r="N24" s="1">
        <f>M24*1.01</f>
        <v>899.91</v>
      </c>
      <c r="O24" s="1">
        <f t="shared" ref="O24:V24" si="29">N24*1.01</f>
        <v>908.90909999999997</v>
      </c>
      <c r="P24" s="1">
        <f t="shared" si="29"/>
        <v>917.99819100000002</v>
      </c>
      <c r="Q24" s="1">
        <f t="shared" si="29"/>
        <v>927.17817291000006</v>
      </c>
      <c r="R24" s="1">
        <f t="shared" si="29"/>
        <v>936.44995463910004</v>
      </c>
      <c r="S24" s="1">
        <f t="shared" si="29"/>
        <v>945.81445418549106</v>
      </c>
      <c r="T24" s="1">
        <f t="shared" si="29"/>
        <v>955.27259872734601</v>
      </c>
      <c r="U24" s="1">
        <f t="shared" si="29"/>
        <v>964.82532471461946</v>
      </c>
      <c r="V24" s="1">
        <f t="shared" si="29"/>
        <v>974.47357796176561</v>
      </c>
      <c r="W24" s="1">
        <v>1000</v>
      </c>
    </row>
    <row r="25" spans="1:23" s="4" customFormat="1" ht="15" x14ac:dyDescent="0.25">
      <c r="A25" s="11" t="s">
        <v>45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>
        <f>1199+960+212+367</f>
        <v>2738</v>
      </c>
      <c r="M25" s="11">
        <f>1311+1010+371+415</f>
        <v>3107</v>
      </c>
      <c r="N25" s="11">
        <f>M25*1.01</f>
        <v>3138.07</v>
      </c>
      <c r="O25" s="11">
        <f t="shared" ref="O25:W25" si="30">N25*1.01</f>
        <v>3169.4507000000003</v>
      </c>
      <c r="P25" s="11">
        <f t="shared" si="30"/>
        <v>3201.1452070000005</v>
      </c>
      <c r="Q25" s="11">
        <f t="shared" si="30"/>
        <v>3233.1566590700004</v>
      </c>
      <c r="R25" s="11">
        <f t="shared" si="30"/>
        <v>3265.4882256607002</v>
      </c>
      <c r="S25" s="11">
        <f t="shared" si="30"/>
        <v>3298.1431079173071</v>
      </c>
      <c r="T25" s="11">
        <f t="shared" si="30"/>
        <v>3331.1245389964802</v>
      </c>
      <c r="U25" s="11">
        <f t="shared" si="30"/>
        <v>3364.435784386445</v>
      </c>
      <c r="V25" s="11">
        <f t="shared" si="30"/>
        <v>3398.0801422303093</v>
      </c>
      <c r="W25" s="11">
        <f t="shared" si="30"/>
        <v>3432.0609436526124</v>
      </c>
    </row>
    <row r="26" spans="1:23" s="4" customFormat="1" ht="15" x14ac:dyDescent="0.25">
      <c r="A26" s="4" t="s">
        <v>8</v>
      </c>
      <c r="B26" s="4">
        <v>15775</v>
      </c>
      <c r="F26" s="4">
        <v>15529</v>
      </c>
      <c r="G26" s="4">
        <f>F26*1.03</f>
        <v>15994.87</v>
      </c>
      <c r="H26" s="4">
        <f t="shared" ref="H26:I26" si="31">G26*1.03</f>
        <v>16474.716100000001</v>
      </c>
      <c r="I26" s="4">
        <f t="shared" si="31"/>
        <v>16968.957583000003</v>
      </c>
      <c r="K26" s="4">
        <v>59283</v>
      </c>
      <c r="L26" s="4">
        <f t="shared" ref="L26:W26" si="32">SUM(L9:L24)</f>
        <v>60115</v>
      </c>
      <c r="M26" s="4">
        <f t="shared" si="32"/>
        <v>64168</v>
      </c>
      <c r="N26" s="4">
        <f t="shared" si="32"/>
        <v>68895.5</v>
      </c>
      <c r="O26" s="4">
        <f t="shared" si="32"/>
        <v>74134.27399999999</v>
      </c>
      <c r="P26" s="4">
        <f t="shared" si="32"/>
        <v>79953.657416000031</v>
      </c>
      <c r="Q26" s="4">
        <f t="shared" si="32"/>
        <v>85759.744780720008</v>
      </c>
      <c r="R26" s="4">
        <f t="shared" si="32"/>
        <v>57883.888968686813</v>
      </c>
      <c r="S26" s="4">
        <f t="shared" si="32"/>
        <v>59839.159046499954</v>
      </c>
      <c r="T26" s="4">
        <f t="shared" si="32"/>
        <v>63698.482401424873</v>
      </c>
      <c r="U26" s="4">
        <f t="shared" si="32"/>
        <v>68723.877547260839</v>
      </c>
      <c r="V26" s="4">
        <f t="shared" si="32"/>
        <v>74592.676987676503</v>
      </c>
      <c r="W26" s="4">
        <f t="shared" si="32"/>
        <v>80574.597133178235</v>
      </c>
    </row>
    <row r="27" spans="1:23" x14ac:dyDescent="0.2">
      <c r="A27" s="1" t="s">
        <v>7</v>
      </c>
      <c r="B27" s="1">
        <v>3540</v>
      </c>
      <c r="F27" s="1">
        <v>3419</v>
      </c>
      <c r="G27" s="1">
        <f>F27*(1+G41)</f>
        <v>3521.57</v>
      </c>
      <c r="H27" s="1">
        <f t="shared" ref="H27:I27" si="33">G27*(1+H41)</f>
        <v>3627.2171000000003</v>
      </c>
      <c r="I27" s="1">
        <f t="shared" si="33"/>
        <v>3736.0336130000005</v>
      </c>
      <c r="K27" s="1">
        <v>17411</v>
      </c>
      <c r="L27" s="1">
        <v>16126</v>
      </c>
      <c r="M27" s="1">
        <v>15193</v>
      </c>
      <c r="N27" s="1">
        <f>SUM(F27:I27)</f>
        <v>14303.820713000001</v>
      </c>
      <c r="O27" s="1">
        <f>N27*(1+O40)</f>
        <v>15391.474972740127</v>
      </c>
      <c r="P27" s="1">
        <f t="shared" ref="P27:R27" si="34">O27*(1+P40)</f>
        <v>16599.673143051252</v>
      </c>
      <c r="Q27" s="1">
        <f t="shared" si="34"/>
        <v>17805.110837951052</v>
      </c>
      <c r="R27" s="1">
        <f t="shared" si="34"/>
        <v>12017.63206565443</v>
      </c>
      <c r="S27" s="1">
        <f t="shared" ref="S27" si="35">R27*(1+S40)</f>
        <v>12423.577775294869</v>
      </c>
      <c r="T27" s="1">
        <f t="shared" ref="T27" si="36">S27*(1+T40)</f>
        <v>13224.835757925663</v>
      </c>
      <c r="U27" s="1">
        <f t="shared" ref="U27" si="37">T27*(1+U40)</f>
        <v>14268.189114502189</v>
      </c>
      <c r="V27" s="1">
        <f t="shared" ref="V27" si="38">U27*(1+V40)</f>
        <v>15486.646851165113</v>
      </c>
      <c r="W27" s="1">
        <f t="shared" ref="W27" si="39">V27*(1+W40)</f>
        <v>16728.590276798714</v>
      </c>
    </row>
    <row r="28" spans="1:23" x14ac:dyDescent="0.2">
      <c r="A28" s="1" t="s">
        <v>9</v>
      </c>
      <c r="B28" s="1">
        <f>B26-B27</f>
        <v>12235</v>
      </c>
      <c r="C28" s="1">
        <f t="shared" ref="C28:E28" si="40">C26-C27</f>
        <v>0</v>
      </c>
      <c r="D28" s="1">
        <f t="shared" si="40"/>
        <v>0</v>
      </c>
      <c r="E28" s="1">
        <f t="shared" si="40"/>
        <v>0</v>
      </c>
      <c r="F28" s="1">
        <f>F26-F27</f>
        <v>12110</v>
      </c>
      <c r="G28" s="1">
        <f>G26-G27</f>
        <v>12473.300000000001</v>
      </c>
      <c r="H28" s="1">
        <f t="shared" ref="H28:I28" si="41">H26-H27</f>
        <v>12847.499000000002</v>
      </c>
      <c r="I28" s="1">
        <f t="shared" si="41"/>
        <v>13232.923970000003</v>
      </c>
      <c r="K28" s="1">
        <f>K26-K27</f>
        <v>41872</v>
      </c>
      <c r="L28" s="1">
        <f t="shared" ref="L28:R28" si="42">L26-L27</f>
        <v>43989</v>
      </c>
      <c r="M28" s="1">
        <f t="shared" si="42"/>
        <v>48975</v>
      </c>
      <c r="N28" s="1">
        <f t="shared" si="42"/>
        <v>54591.679286999999</v>
      </c>
      <c r="O28" s="1">
        <f t="shared" si="42"/>
        <v>58742.799027259862</v>
      </c>
      <c r="P28" s="1">
        <f t="shared" si="42"/>
        <v>63353.984272948779</v>
      </c>
      <c r="Q28" s="1">
        <f t="shared" si="42"/>
        <v>67954.633942768953</v>
      </c>
      <c r="R28" s="1">
        <f t="shared" si="42"/>
        <v>45866.256903032379</v>
      </c>
      <c r="S28" s="1">
        <f t="shared" ref="S28:W28" si="43">S26-S27</f>
        <v>47415.581271205083</v>
      </c>
      <c r="T28" s="1">
        <f t="shared" si="43"/>
        <v>50473.646643499211</v>
      </c>
      <c r="U28" s="1">
        <f t="shared" si="43"/>
        <v>54455.688432758652</v>
      </c>
      <c r="V28" s="1">
        <f t="shared" si="43"/>
        <v>59106.030136511392</v>
      </c>
      <c r="W28" s="1">
        <f t="shared" si="43"/>
        <v>63846.006856379521</v>
      </c>
    </row>
    <row r="29" spans="1:23" x14ac:dyDescent="0.2">
      <c r="A29" s="1" t="s">
        <v>10</v>
      </c>
      <c r="B29" s="1">
        <v>2483</v>
      </c>
      <c r="F29" s="1">
        <v>2552</v>
      </c>
      <c r="G29" s="1">
        <f>F29*(1+G41)</f>
        <v>2628.56</v>
      </c>
      <c r="H29" s="1">
        <f t="shared" ref="H29:I29" si="44">G29*(1+H41)</f>
        <v>2707.4168</v>
      </c>
      <c r="I29" s="1">
        <f t="shared" si="44"/>
        <v>2788.6393039999998</v>
      </c>
      <c r="K29" s="1">
        <v>10042</v>
      </c>
      <c r="L29" s="1">
        <v>10504</v>
      </c>
      <c r="M29" s="1">
        <v>10816</v>
      </c>
      <c r="N29" s="1">
        <f>SUM(F29:I29)</f>
        <v>10676.616103999999</v>
      </c>
      <c r="O29" s="1">
        <f>N29*(1+O40)</f>
        <v>11488.459821711844</v>
      </c>
      <c r="P29" s="1">
        <f t="shared" ref="P29:R29" si="45">O29*(1+P40)</f>
        <v>12390.279573286569</v>
      </c>
      <c r="Q29" s="1">
        <f t="shared" si="45"/>
        <v>13290.038858862552</v>
      </c>
      <c r="R29" s="1">
        <f t="shared" si="45"/>
        <v>8970.1658471921892</v>
      </c>
      <c r="S29" s="1">
        <f t="shared" ref="S29" si="46">R29*(1+S40)</f>
        <v>9273.170658833722</v>
      </c>
      <c r="T29" s="1">
        <f t="shared" ref="T29" si="47">S29*(1+T40)</f>
        <v>9871.2433033712423</v>
      </c>
      <c r="U29" s="1">
        <f t="shared" ref="U29" si="48">T29*(1+U40)</f>
        <v>10650.02007025726</v>
      </c>
      <c r="V29" s="1">
        <f t="shared" ref="V29" si="49">U29*(1+V40)</f>
        <v>11559.497737400805</v>
      </c>
      <c r="W29" s="1">
        <f t="shared" ref="W29" si="50">V29*(1+W40)</f>
        <v>12486.505523951535</v>
      </c>
    </row>
    <row r="30" spans="1:23" x14ac:dyDescent="0.2">
      <c r="A30" s="1" t="s">
        <v>11</v>
      </c>
      <c r="B30" s="1">
        <v>3992</v>
      </c>
      <c r="F30" s="1">
        <v>3621</v>
      </c>
      <c r="G30" s="1">
        <f>F30*(1+G41)</f>
        <v>3729.63</v>
      </c>
      <c r="H30" s="1">
        <f t="shared" ref="H30:I30" si="51">G30*(1+H41)</f>
        <v>3841.5189</v>
      </c>
      <c r="I30" s="1">
        <f t="shared" si="51"/>
        <v>3956.764467</v>
      </c>
      <c r="K30" s="1">
        <v>13548</v>
      </c>
      <c r="L30" s="1">
        <v>30531</v>
      </c>
      <c r="M30" s="1">
        <v>17938</v>
      </c>
      <c r="N30" s="1">
        <f>SUM(F30:I30)</f>
        <v>15148.913367000001</v>
      </c>
      <c r="O30" s="1">
        <f>N30*(1+O40)</f>
        <v>16300.827983706346</v>
      </c>
      <c r="P30" s="1">
        <f t="shared" ref="P30:R30" si="52">O30*(1+P40)</f>
        <v>17580.408438428949</v>
      </c>
      <c r="Q30" s="1">
        <f t="shared" si="52"/>
        <v>18857.065324428415</v>
      </c>
      <c r="R30" s="1">
        <f t="shared" si="52"/>
        <v>12727.653030048168</v>
      </c>
      <c r="S30" s="1">
        <f t="shared" ref="S30" si="53">R30*(1+S40)</f>
        <v>13157.582662867129</v>
      </c>
      <c r="T30" s="1">
        <f t="shared" ref="T30" si="54">S30*(1+T40)</f>
        <v>14006.180251374324</v>
      </c>
      <c r="U30" s="1">
        <f t="shared" ref="U30" si="55">T30*(1+U40)</f>
        <v>15111.17659655233</v>
      </c>
      <c r="V30" s="1">
        <f t="shared" ref="V30" si="56">U30*(1+V40)</f>
        <v>16401.622769250909</v>
      </c>
      <c r="W30" s="1">
        <f t="shared" ref="W30" si="57">V30*(1+W40)</f>
        <v>17716.9422030676</v>
      </c>
    </row>
    <row r="31" spans="1:23" x14ac:dyDescent="0.2">
      <c r="A31" s="1" t="s">
        <v>12</v>
      </c>
      <c r="B31" s="1">
        <f>SUM(B29:B30)</f>
        <v>6475</v>
      </c>
      <c r="C31" s="1">
        <f t="shared" ref="C31:E31" si="58">SUM(C29:C30)</f>
        <v>0</v>
      </c>
      <c r="D31" s="1">
        <f t="shared" si="58"/>
        <v>0</v>
      </c>
      <c r="E31" s="1">
        <f t="shared" si="58"/>
        <v>0</v>
      </c>
      <c r="F31" s="1">
        <f>SUM(F29:F30)</f>
        <v>6173</v>
      </c>
      <c r="G31" s="1">
        <f>SUM(G29:G30)</f>
        <v>6358.1900000000005</v>
      </c>
      <c r="H31" s="1">
        <f t="shared" ref="H31:I31" si="59">SUM(H29:H30)</f>
        <v>6548.9357</v>
      </c>
      <c r="I31" s="1">
        <f t="shared" si="59"/>
        <v>6745.4037709999993</v>
      </c>
      <c r="K31" s="1">
        <f>SUM(K29:K30)</f>
        <v>23590</v>
      </c>
      <c r="L31" s="1">
        <f t="shared" ref="L31:R31" si="60">SUM(L29:L30)</f>
        <v>41035</v>
      </c>
      <c r="M31" s="1">
        <f t="shared" si="60"/>
        <v>28754</v>
      </c>
      <c r="N31" s="1">
        <f t="shared" si="60"/>
        <v>25825.529471000002</v>
      </c>
      <c r="O31" s="1">
        <f t="shared" si="60"/>
        <v>27789.287805418189</v>
      </c>
      <c r="P31" s="1">
        <f t="shared" si="60"/>
        <v>29970.688011715516</v>
      </c>
      <c r="Q31" s="1">
        <f t="shared" si="60"/>
        <v>32147.104183290969</v>
      </c>
      <c r="R31" s="1">
        <f t="shared" si="60"/>
        <v>21697.818877240359</v>
      </c>
      <c r="S31" s="1">
        <f t="shared" ref="S31:W31" si="61">SUM(S29:S30)</f>
        <v>22430.753321700853</v>
      </c>
      <c r="T31" s="1">
        <f t="shared" si="61"/>
        <v>23877.423554745568</v>
      </c>
      <c r="U31" s="1">
        <f t="shared" si="61"/>
        <v>25761.196666809592</v>
      </c>
      <c r="V31" s="1">
        <f t="shared" si="61"/>
        <v>27961.120506651714</v>
      </c>
      <c r="W31" s="1">
        <f t="shared" si="61"/>
        <v>30203.447727019135</v>
      </c>
    </row>
    <row r="32" spans="1:23" s="4" customFormat="1" ht="15" x14ac:dyDescent="0.25">
      <c r="A32" s="4" t="s">
        <v>13</v>
      </c>
      <c r="B32" s="4">
        <f>B28-B31</f>
        <v>5760</v>
      </c>
      <c r="C32" s="4">
        <f t="shared" ref="C32:E32" si="62">C28-C31</f>
        <v>0</v>
      </c>
      <c r="D32" s="4">
        <f t="shared" si="62"/>
        <v>0</v>
      </c>
      <c r="E32" s="4">
        <f t="shared" si="62"/>
        <v>0</v>
      </c>
      <c r="F32" s="4">
        <f>F28-F31</f>
        <v>5937</v>
      </c>
      <c r="G32" s="4">
        <f>G28-G31</f>
        <v>6115.1100000000006</v>
      </c>
      <c r="H32" s="4">
        <f t="shared" ref="H32:I32" si="63">H28-H31</f>
        <v>6298.5633000000016</v>
      </c>
      <c r="I32" s="4">
        <f t="shared" si="63"/>
        <v>6487.5201990000041</v>
      </c>
      <c r="K32" s="4">
        <f>K28-K31</f>
        <v>18282</v>
      </c>
      <c r="L32" s="4">
        <f t="shared" ref="L32:R32" si="64">L28-L31</f>
        <v>2954</v>
      </c>
      <c r="M32" s="4">
        <f t="shared" si="64"/>
        <v>20221</v>
      </c>
      <c r="N32" s="4">
        <f t="shared" si="64"/>
        <v>28766.149815999997</v>
      </c>
      <c r="O32" s="4">
        <f t="shared" si="64"/>
        <v>30953.511221841673</v>
      </c>
      <c r="P32" s="4">
        <f t="shared" si="64"/>
        <v>33383.296261233263</v>
      </c>
      <c r="Q32" s="4">
        <f t="shared" si="64"/>
        <v>35807.529759477984</v>
      </c>
      <c r="R32" s="4">
        <f t="shared" si="64"/>
        <v>24168.43802579202</v>
      </c>
      <c r="S32" s="4">
        <f t="shared" ref="S32:W32" si="65">S28-S31</f>
        <v>24984.82794950423</v>
      </c>
      <c r="T32" s="4">
        <f t="shared" si="65"/>
        <v>26596.223088753643</v>
      </c>
      <c r="U32" s="4">
        <f t="shared" si="65"/>
        <v>28694.49176594906</v>
      </c>
      <c r="V32" s="4">
        <f t="shared" si="65"/>
        <v>31144.909629859678</v>
      </c>
      <c r="W32" s="4">
        <f t="shared" si="65"/>
        <v>33642.559129360387</v>
      </c>
    </row>
    <row r="33" spans="1:116" x14ac:dyDescent="0.2">
      <c r="A33" s="1" t="s">
        <v>14</v>
      </c>
      <c r="B33" s="1">
        <v>-33</v>
      </c>
      <c r="F33" s="1">
        <v>-35</v>
      </c>
      <c r="G33" s="1">
        <f>F54*$Z$103/4</f>
        <v>-323.2</v>
      </c>
      <c r="H33" s="1">
        <f>G54*$Z$103/4</f>
        <v>-274.83755149999996</v>
      </c>
      <c r="I33" s="1">
        <f>H54*$Z$103/4</f>
        <v>-224.53944150002496</v>
      </c>
      <c r="N33" s="1">
        <f>SUM(F33:I33)</f>
        <v>-857.57699300002491</v>
      </c>
      <c r="O33" s="1">
        <f t="shared" ref="O33:W33" si="66">N54*$Z$103</f>
        <v>-688.97420869960047</v>
      </c>
      <c r="P33" s="1">
        <f t="shared" si="66"/>
        <v>321.86132753934481</v>
      </c>
      <c r="Q33" s="1">
        <f t="shared" si="66"/>
        <v>1386.9443073445593</v>
      </c>
      <c r="R33" s="1">
        <f t="shared" si="66"/>
        <v>2562.2896878561519</v>
      </c>
      <c r="S33" s="1">
        <f t="shared" si="66"/>
        <v>3406.980683607434</v>
      </c>
      <c r="T33" s="1">
        <f t="shared" si="66"/>
        <v>4304.161836413763</v>
      </c>
      <c r="U33" s="1">
        <f t="shared" si="66"/>
        <v>5280.6140000490532</v>
      </c>
      <c r="V33" s="1">
        <f t="shared" si="66"/>
        <v>6354.2273422545941</v>
      </c>
      <c r="W33" s="1">
        <f t="shared" si="66"/>
        <v>7539.2000705734044</v>
      </c>
    </row>
    <row r="34" spans="1:116" x14ac:dyDescent="0.2">
      <c r="A34" s="1" t="s">
        <v>15</v>
      </c>
      <c r="B34" s="1">
        <f>B32+B33</f>
        <v>5727</v>
      </c>
      <c r="C34" s="1">
        <f t="shared" ref="C34:E34" si="67">C32+C33</f>
        <v>0</v>
      </c>
      <c r="D34" s="1">
        <f t="shared" si="67"/>
        <v>0</v>
      </c>
      <c r="E34" s="1">
        <f t="shared" si="67"/>
        <v>0</v>
      </c>
      <c r="F34" s="1">
        <f>F32+F33</f>
        <v>5902</v>
      </c>
      <c r="G34" s="1">
        <f>G32+G33</f>
        <v>5791.9100000000008</v>
      </c>
      <c r="H34" s="1">
        <f t="shared" ref="H34:I34" si="68">H32+H33</f>
        <v>6023.7257485000018</v>
      </c>
      <c r="I34" s="1">
        <f t="shared" si="68"/>
        <v>6262.9807574999795</v>
      </c>
      <c r="K34" s="1">
        <f>K32+K33</f>
        <v>18282</v>
      </c>
      <c r="L34" s="1">
        <f t="shared" ref="L34:R34" si="69">L32+L33</f>
        <v>2954</v>
      </c>
      <c r="M34" s="1">
        <f t="shared" si="69"/>
        <v>20221</v>
      </c>
      <c r="N34" s="1">
        <f t="shared" si="69"/>
        <v>27908.572822999973</v>
      </c>
      <c r="O34" s="1">
        <f t="shared" si="69"/>
        <v>30264.537013142071</v>
      </c>
      <c r="P34" s="1">
        <f t="shared" si="69"/>
        <v>33705.157588772607</v>
      </c>
      <c r="Q34" s="1">
        <f t="shared" si="69"/>
        <v>37194.474066822542</v>
      </c>
      <c r="R34" s="1">
        <f t="shared" si="69"/>
        <v>26730.727713648172</v>
      </c>
      <c r="S34" s="1">
        <f t="shared" ref="S34:W34" si="70">S32+S33</f>
        <v>28391.808633111665</v>
      </c>
      <c r="T34" s="1">
        <f t="shared" si="70"/>
        <v>30900.384925167404</v>
      </c>
      <c r="U34" s="1">
        <f t="shared" si="70"/>
        <v>33975.105765998116</v>
      </c>
      <c r="V34" s="1">
        <f t="shared" si="70"/>
        <v>37499.136972114269</v>
      </c>
      <c r="W34" s="1">
        <f t="shared" si="70"/>
        <v>41181.759199933789</v>
      </c>
    </row>
    <row r="35" spans="1:116" x14ac:dyDescent="0.2">
      <c r="A35" s="1" t="s">
        <v>16</v>
      </c>
      <c r="B35" s="1">
        <v>903</v>
      </c>
      <c r="F35" s="1">
        <v>818</v>
      </c>
      <c r="G35" s="1">
        <f>G34*G42</f>
        <v>955.66515000000015</v>
      </c>
      <c r="H35" s="1">
        <f t="shared" ref="H35:I35" si="71">H34*H42</f>
        <v>993.9147485025004</v>
      </c>
      <c r="I35" s="1">
        <f t="shared" si="71"/>
        <v>1033.3918249874966</v>
      </c>
      <c r="K35" s="1">
        <v>1918</v>
      </c>
      <c r="L35" s="1">
        <v>1512</v>
      </c>
      <c r="M35" s="1">
        <v>2803</v>
      </c>
      <c r="N35" s="1">
        <f>SUM(F35:I35)</f>
        <v>3800.9717234899972</v>
      </c>
      <c r="O35" s="1">
        <f>O34*O42</f>
        <v>4993.6486071684421</v>
      </c>
      <c r="P35" s="1">
        <f t="shared" ref="P35:R35" si="72">P34*P42</f>
        <v>7078.0830936422471</v>
      </c>
      <c r="Q35" s="1">
        <f t="shared" si="72"/>
        <v>7810.8395540327338</v>
      </c>
      <c r="R35" s="1">
        <f t="shared" si="72"/>
        <v>5613.4528198661155</v>
      </c>
      <c r="S35" s="1">
        <f t="shared" ref="S35:W35" si="73">S34*S42</f>
        <v>5962.2798129534494</v>
      </c>
      <c r="T35" s="1">
        <f t="shared" si="73"/>
        <v>6489.0808342851542</v>
      </c>
      <c r="U35" s="1">
        <f t="shared" si="73"/>
        <v>7134.7722108596045</v>
      </c>
      <c r="V35" s="1">
        <f t="shared" si="73"/>
        <v>7874.8187641439963</v>
      </c>
      <c r="W35" s="1">
        <f t="shared" si="73"/>
        <v>8648.1694319860962</v>
      </c>
    </row>
    <row r="36" spans="1:116" s="4" customFormat="1" ht="15" x14ac:dyDescent="0.25">
      <c r="A36" s="4" t="s">
        <v>17</v>
      </c>
      <c r="B36" s="4">
        <f>B34-B35</f>
        <v>4824</v>
      </c>
      <c r="C36" s="4">
        <f t="shared" ref="C36:E36" si="74">C34-C35</f>
        <v>0</v>
      </c>
      <c r="D36" s="4">
        <f t="shared" si="74"/>
        <v>0</v>
      </c>
      <c r="E36" s="4">
        <f t="shared" si="74"/>
        <v>0</v>
      </c>
      <c r="F36" s="4">
        <f>F34-F35</f>
        <v>5084</v>
      </c>
      <c r="G36" s="4">
        <f>G34-G35</f>
        <v>4836.244850000001</v>
      </c>
      <c r="H36" s="4">
        <f t="shared" ref="H36:I36" si="75">H34-H35</f>
        <v>5029.8109999975013</v>
      </c>
      <c r="I36" s="4">
        <f t="shared" si="75"/>
        <v>5229.5889325124826</v>
      </c>
      <c r="K36" s="4">
        <f>K34-K35</f>
        <v>16364</v>
      </c>
      <c r="L36" s="4">
        <f t="shared" ref="L36:R36" si="76">L34-L35</f>
        <v>1442</v>
      </c>
      <c r="M36" s="4">
        <f t="shared" si="76"/>
        <v>17418</v>
      </c>
      <c r="N36" s="4">
        <f t="shared" si="76"/>
        <v>24107.601099509975</v>
      </c>
      <c r="O36" s="4">
        <f t="shared" si="76"/>
        <v>25270.88840597363</v>
      </c>
      <c r="P36" s="4">
        <f t="shared" si="76"/>
        <v>26627.07449513036</v>
      </c>
      <c r="Q36" s="4">
        <f t="shared" si="76"/>
        <v>29383.634512789809</v>
      </c>
      <c r="R36" s="4">
        <f t="shared" si="76"/>
        <v>21117.274893782058</v>
      </c>
      <c r="S36" s="4">
        <f t="shared" ref="S36:W36" si="77">S34-S35</f>
        <v>22429.528820158215</v>
      </c>
      <c r="T36" s="4">
        <f t="shared" si="77"/>
        <v>24411.304090882251</v>
      </c>
      <c r="U36" s="4">
        <f t="shared" si="77"/>
        <v>26840.33355513851</v>
      </c>
      <c r="V36" s="4">
        <f t="shared" si="77"/>
        <v>29624.318207970275</v>
      </c>
      <c r="W36" s="4">
        <f t="shared" si="77"/>
        <v>32533.589767947691</v>
      </c>
      <c r="X36" s="4">
        <f t="shared" ref="X36:BC36" si="78">W36*(1+$Z$104)</f>
        <v>32208.253870268214</v>
      </c>
      <c r="Y36" s="4">
        <f t="shared" si="78"/>
        <v>31886.171331565532</v>
      </c>
      <c r="Z36" s="4">
        <f t="shared" si="78"/>
        <v>31567.309618249878</v>
      </c>
      <c r="AA36" s="4">
        <f t="shared" si="78"/>
        <v>31251.63652206738</v>
      </c>
      <c r="AB36" s="4">
        <f t="shared" si="78"/>
        <v>30939.120156846704</v>
      </c>
      <c r="AC36" s="4">
        <f t="shared" si="78"/>
        <v>30629.728955278235</v>
      </c>
      <c r="AD36" s="4">
        <f t="shared" si="78"/>
        <v>30323.431665725453</v>
      </c>
      <c r="AE36" s="4">
        <f t="shared" si="78"/>
        <v>30020.197349068199</v>
      </c>
      <c r="AF36" s="4">
        <f t="shared" si="78"/>
        <v>29719.995375577517</v>
      </c>
      <c r="AG36" s="4">
        <f t="shared" si="78"/>
        <v>29422.795421821742</v>
      </c>
      <c r="AH36" s="4">
        <f t="shared" si="78"/>
        <v>29128.567467603523</v>
      </c>
      <c r="AI36" s="4">
        <f t="shared" si="78"/>
        <v>28837.281792927486</v>
      </c>
      <c r="AJ36" s="4">
        <f t="shared" si="78"/>
        <v>28548.908974998212</v>
      </c>
      <c r="AK36" s="4">
        <f t="shared" si="78"/>
        <v>28263.41988524823</v>
      </c>
      <c r="AL36" s="4">
        <f t="shared" si="78"/>
        <v>27980.785686395746</v>
      </c>
      <c r="AM36" s="4">
        <f t="shared" si="78"/>
        <v>27700.977829531788</v>
      </c>
      <c r="AN36" s="4">
        <f t="shared" si="78"/>
        <v>27423.968051236468</v>
      </c>
      <c r="AO36" s="4">
        <f t="shared" si="78"/>
        <v>27149.728370724104</v>
      </c>
      <c r="AP36" s="4">
        <f t="shared" si="78"/>
        <v>26878.231087016862</v>
      </c>
      <c r="AQ36" s="4">
        <f t="shared" si="78"/>
        <v>26609.448776146692</v>
      </c>
      <c r="AR36" s="4">
        <f t="shared" si="78"/>
        <v>26343.354288385224</v>
      </c>
      <c r="AS36" s="4">
        <f t="shared" si="78"/>
        <v>26079.920745501371</v>
      </c>
      <c r="AT36" s="4">
        <f t="shared" si="78"/>
        <v>25819.121538046358</v>
      </c>
      <c r="AU36" s="4">
        <f t="shared" si="78"/>
        <v>25560.930322665896</v>
      </c>
      <c r="AV36" s="4">
        <f t="shared" si="78"/>
        <v>25305.321019439238</v>
      </c>
      <c r="AW36" s="4">
        <f t="shared" si="78"/>
        <v>25052.267809244844</v>
      </c>
      <c r="AX36" s="4">
        <f t="shared" si="78"/>
        <v>24801.745131152395</v>
      </c>
      <c r="AY36" s="4">
        <f t="shared" si="78"/>
        <v>24553.727679840871</v>
      </c>
      <c r="AZ36" s="4">
        <f t="shared" si="78"/>
        <v>24308.190403042463</v>
      </c>
      <c r="BA36" s="4">
        <f t="shared" si="78"/>
        <v>24065.10849901204</v>
      </c>
      <c r="BB36" s="4">
        <f t="shared" si="78"/>
        <v>23824.457414021919</v>
      </c>
      <c r="BC36" s="4">
        <f t="shared" si="78"/>
        <v>23586.2128398817</v>
      </c>
      <c r="BD36" s="4">
        <f t="shared" ref="BD36:CI36" si="79">BC36*(1+$Z$104)</f>
        <v>23350.350711482883</v>
      </c>
      <c r="BE36" s="4">
        <f t="shared" si="79"/>
        <v>23116.847204368052</v>
      </c>
      <c r="BF36" s="4">
        <f t="shared" si="79"/>
        <v>22885.67873232437</v>
      </c>
      <c r="BG36" s="4">
        <f t="shared" si="79"/>
        <v>22656.821945001127</v>
      </c>
      <c r="BH36" s="4">
        <f t="shared" si="79"/>
        <v>22430.253725551116</v>
      </c>
      <c r="BI36" s="4">
        <f t="shared" si="79"/>
        <v>22205.951188295603</v>
      </c>
      <c r="BJ36" s="4">
        <f t="shared" si="79"/>
        <v>21983.891676412648</v>
      </c>
      <c r="BK36" s="4">
        <f t="shared" si="79"/>
        <v>21764.052759648523</v>
      </c>
      <c r="BL36" s="4">
        <f t="shared" si="79"/>
        <v>21546.412232052036</v>
      </c>
      <c r="BM36" s="4">
        <f t="shared" si="79"/>
        <v>21330.948109731515</v>
      </c>
      <c r="BN36" s="4">
        <f t="shared" si="79"/>
        <v>21117.638628634199</v>
      </c>
      <c r="BO36" s="4">
        <f t="shared" si="79"/>
        <v>20906.462242347858</v>
      </c>
      <c r="BP36" s="4">
        <f t="shared" si="79"/>
        <v>20697.397619924381</v>
      </c>
      <c r="BQ36" s="4">
        <f t="shared" si="79"/>
        <v>20490.423643725138</v>
      </c>
      <c r="BR36" s="4">
        <f t="shared" si="79"/>
        <v>20285.519407287888</v>
      </c>
      <c r="BS36" s="4">
        <f t="shared" si="79"/>
        <v>20082.664213215008</v>
      </c>
      <c r="BT36" s="4">
        <f t="shared" si="79"/>
        <v>19881.837571082859</v>
      </c>
      <c r="BU36" s="4">
        <f t="shared" si="79"/>
        <v>19683.019195372031</v>
      </c>
      <c r="BV36" s="4">
        <f t="shared" si="79"/>
        <v>19486.189003418312</v>
      </c>
      <c r="BW36" s="4">
        <f t="shared" si="79"/>
        <v>19291.32711338413</v>
      </c>
      <c r="BX36" s="4">
        <f t="shared" si="79"/>
        <v>19098.413842250287</v>
      </c>
      <c r="BY36" s="4">
        <f t="shared" si="79"/>
        <v>18907.429703827784</v>
      </c>
      <c r="BZ36" s="4">
        <f t="shared" si="79"/>
        <v>18718.355406789506</v>
      </c>
      <c r="CA36" s="4">
        <f t="shared" si="79"/>
        <v>18531.171852721611</v>
      </c>
      <c r="CB36" s="4">
        <f t="shared" si="79"/>
        <v>18345.860134194394</v>
      </c>
      <c r="CC36" s="4">
        <f t="shared" si="79"/>
        <v>18162.401532852451</v>
      </c>
      <c r="CD36" s="4">
        <f t="shared" si="79"/>
        <v>17980.777517523926</v>
      </c>
      <c r="CE36" s="4">
        <f t="shared" si="79"/>
        <v>17800.969742348687</v>
      </c>
      <c r="CF36" s="4">
        <f t="shared" si="79"/>
        <v>17622.960044925199</v>
      </c>
      <c r="CG36" s="4">
        <f t="shared" si="79"/>
        <v>17446.730444475947</v>
      </c>
      <c r="CH36" s="4">
        <f t="shared" si="79"/>
        <v>17272.263140031188</v>
      </c>
      <c r="CI36" s="4">
        <f t="shared" si="79"/>
        <v>17099.540508630875</v>
      </c>
      <c r="CJ36" s="4">
        <f t="shared" ref="CJ36:DL36" si="80">CI36*(1+$Z$104)</f>
        <v>16928.545103544566</v>
      </c>
      <c r="CK36" s="4">
        <f t="shared" si="80"/>
        <v>16759.259652509121</v>
      </c>
      <c r="CL36" s="4">
        <f t="shared" si="80"/>
        <v>16591.667055984031</v>
      </c>
      <c r="CM36" s="4">
        <f t="shared" si="80"/>
        <v>16425.750385424191</v>
      </c>
      <c r="CN36" s="4">
        <f t="shared" si="80"/>
        <v>16261.49288156995</v>
      </c>
      <c r="CO36" s="4">
        <f t="shared" si="80"/>
        <v>16098.87795275425</v>
      </c>
      <c r="CP36" s="4">
        <f t="shared" si="80"/>
        <v>15937.889173226707</v>
      </c>
      <c r="CQ36" s="4">
        <f t="shared" si="80"/>
        <v>15778.51028149444</v>
      </c>
      <c r="CR36" s="4">
        <f t="shared" si="80"/>
        <v>15620.725178679495</v>
      </c>
      <c r="CS36" s="4">
        <f t="shared" si="80"/>
        <v>15464.5179268927</v>
      </c>
      <c r="CT36" s="4">
        <f t="shared" si="80"/>
        <v>15309.872747623773</v>
      </c>
      <c r="CU36" s="4">
        <f t="shared" si="80"/>
        <v>15156.774020147535</v>
      </c>
      <c r="CV36" s="4">
        <f t="shared" si="80"/>
        <v>15005.20627994606</v>
      </c>
      <c r="CW36" s="4">
        <f t="shared" si="80"/>
        <v>14855.154217146599</v>
      </c>
      <c r="CX36" s="4">
        <f t="shared" si="80"/>
        <v>14706.602674975133</v>
      </c>
      <c r="CY36" s="4">
        <f t="shared" si="80"/>
        <v>14559.536648225381</v>
      </c>
      <c r="CZ36" s="4">
        <f t="shared" si="80"/>
        <v>14413.941281743128</v>
      </c>
      <c r="DA36" s="4">
        <f t="shared" si="80"/>
        <v>14269.801868925697</v>
      </c>
      <c r="DB36" s="4">
        <f t="shared" si="80"/>
        <v>14127.103850236439</v>
      </c>
      <c r="DC36" s="4">
        <f t="shared" si="80"/>
        <v>13985.832811734075</v>
      </c>
      <c r="DD36" s="4">
        <f t="shared" si="80"/>
        <v>13845.974483616734</v>
      </c>
      <c r="DE36" s="4">
        <f t="shared" si="80"/>
        <v>13707.514738780566</v>
      </c>
      <c r="DF36" s="4">
        <f t="shared" si="80"/>
        <v>13570.43959139276</v>
      </c>
      <c r="DG36" s="4">
        <f t="shared" si="80"/>
        <v>13434.735195478832</v>
      </c>
      <c r="DH36" s="4">
        <f t="shared" si="80"/>
        <v>13300.387843524044</v>
      </c>
      <c r="DI36" s="4">
        <f t="shared" si="80"/>
        <v>13167.383965088804</v>
      </c>
      <c r="DJ36" s="4">
        <f t="shared" si="80"/>
        <v>13035.710125437916</v>
      </c>
      <c r="DK36" s="4">
        <f t="shared" si="80"/>
        <v>12905.353024183536</v>
      </c>
      <c r="DL36" s="4">
        <f t="shared" si="80"/>
        <v>12776.2994939417</v>
      </c>
    </row>
    <row r="37" spans="1:116" x14ac:dyDescent="0.2">
      <c r="A37" s="1" t="s">
        <v>2</v>
      </c>
      <c r="B37" s="1">
        <v>2511</v>
      </c>
      <c r="F37" s="1">
        <v>2511.0309999999999</v>
      </c>
      <c r="G37" s="1">
        <v>2511.0309999999999</v>
      </c>
      <c r="H37" s="1">
        <v>2511.0309999999999</v>
      </c>
      <c r="I37" s="1">
        <v>2511.0309999999999</v>
      </c>
      <c r="K37" s="1">
        <f>K36/K38</f>
        <v>2865.8493870402804</v>
      </c>
      <c r="L37" s="1">
        <f>L36/L38</f>
        <v>10299.999999999998</v>
      </c>
      <c r="M37" s="1">
        <f>M36/M38</f>
        <v>2584.2729970326409</v>
      </c>
      <c r="N37" s="1">
        <v>2530</v>
      </c>
      <c r="O37" s="1">
        <v>2530</v>
      </c>
      <c r="P37" s="1">
        <v>2530</v>
      </c>
      <c r="Q37" s="1">
        <v>2530</v>
      </c>
      <c r="R37" s="1">
        <v>2530</v>
      </c>
      <c r="S37" s="1">
        <v>2530</v>
      </c>
      <c r="T37" s="1">
        <v>2530</v>
      </c>
      <c r="U37" s="1">
        <v>2530</v>
      </c>
      <c r="V37" s="1">
        <v>2530</v>
      </c>
      <c r="W37" s="1">
        <v>2530</v>
      </c>
    </row>
    <row r="38" spans="1:116" x14ac:dyDescent="0.2">
      <c r="A38" s="1" t="s">
        <v>18</v>
      </c>
      <c r="B38" s="5">
        <f>B36/B37</f>
        <v>1.9211469534050178</v>
      </c>
      <c r="C38" s="5" t="e">
        <f t="shared" ref="C38:E38" si="81">C36/C37</f>
        <v>#DIV/0!</v>
      </c>
      <c r="D38" s="5" t="e">
        <f t="shared" si="81"/>
        <v>#DIV/0!</v>
      </c>
      <c r="E38" s="5" t="e">
        <f t="shared" si="81"/>
        <v>#DIV/0!</v>
      </c>
      <c r="F38" s="5">
        <f>F36/F37</f>
        <v>2.0246663621436771</v>
      </c>
      <c r="G38" s="5">
        <f>G36/G37</f>
        <v>1.9259996591041693</v>
      </c>
      <c r="H38" s="5">
        <f t="shared" ref="H38:I38" si="82">H36/H37</f>
        <v>2.0030859834058208</v>
      </c>
      <c r="I38" s="5">
        <f t="shared" si="82"/>
        <v>2.0826461053298355</v>
      </c>
      <c r="K38" s="5">
        <v>5.71</v>
      </c>
      <c r="L38" s="5">
        <v>0.14000000000000001</v>
      </c>
      <c r="M38" s="5">
        <v>6.74</v>
      </c>
      <c r="N38" s="5">
        <f t="shared" ref="N38:R38" si="83">N36/N37</f>
        <v>9.5286960867628352</v>
      </c>
      <c r="O38" s="5">
        <f t="shared" si="83"/>
        <v>9.9884934410962973</v>
      </c>
      <c r="P38" s="5">
        <f t="shared" si="83"/>
        <v>10.524535373569313</v>
      </c>
      <c r="Q38" s="5">
        <f t="shared" si="83"/>
        <v>11.614084787663955</v>
      </c>
      <c r="R38" s="5">
        <f t="shared" si="83"/>
        <v>8.3467489698743318</v>
      </c>
      <c r="S38" s="5">
        <f t="shared" ref="S38:W38" si="84">S36/S37</f>
        <v>8.8654264111297287</v>
      </c>
      <c r="T38" s="5">
        <f t="shared" si="84"/>
        <v>9.6487367948151199</v>
      </c>
      <c r="U38" s="5">
        <f t="shared" si="84"/>
        <v>10.608827492149608</v>
      </c>
      <c r="V38" s="5">
        <f t="shared" si="84"/>
        <v>11.709216682992203</v>
      </c>
      <c r="W38" s="5">
        <f t="shared" si="84"/>
        <v>12.859126390493159</v>
      </c>
    </row>
    <row r="40" spans="1:116" s="4" customFormat="1" ht="15" x14ac:dyDescent="0.25">
      <c r="A40" s="4" t="s">
        <v>33</v>
      </c>
      <c r="F40" s="6">
        <f>F26/B26-1</f>
        <v>-1.5594294770206019E-2</v>
      </c>
      <c r="G40" s="6" t="e">
        <f>G26/C26-1</f>
        <v>#DIV/0!</v>
      </c>
      <c r="H40" s="6" t="e">
        <f t="shared" ref="H40:I40" si="85">H26/D26-1</f>
        <v>#DIV/0!</v>
      </c>
      <c r="I40" s="6" t="e">
        <f t="shared" si="85"/>
        <v>#DIV/0!</v>
      </c>
      <c r="K40" s="6"/>
      <c r="L40" s="6">
        <f>L26/K26-1</f>
        <v>1.4034377477523119E-2</v>
      </c>
      <c r="M40" s="6">
        <f t="shared" ref="M40:R40" si="86">M26/L26-1</f>
        <v>6.7420776844381525E-2</v>
      </c>
      <c r="N40" s="6">
        <f t="shared" si="86"/>
        <v>7.3673793791297904E-2</v>
      </c>
      <c r="O40" s="6">
        <f t="shared" si="86"/>
        <v>7.6039422023209013E-2</v>
      </c>
      <c r="P40" s="6">
        <f t="shared" si="86"/>
        <v>7.849788096663679E-2</v>
      </c>
      <c r="Q40" s="6">
        <f t="shared" si="86"/>
        <v>7.2618158472861571E-2</v>
      </c>
      <c r="R40" s="6">
        <f t="shared" si="86"/>
        <v>-0.32504592782207153</v>
      </c>
      <c r="S40" s="6">
        <f t="shared" ref="S40" si="87">S26/R26-1</f>
        <v>3.3779176082499918E-2</v>
      </c>
      <c r="T40" s="6">
        <f t="shared" ref="T40" si="88">T26/S26-1</f>
        <v>6.4494946393312658E-2</v>
      </c>
      <c r="U40" s="6">
        <f t="shared" ref="U40" si="89">U26/T26-1</f>
        <v>7.8893483115753948E-2</v>
      </c>
      <c r="V40" s="6">
        <f t="shared" ref="V40" si="90">V26/U26-1</f>
        <v>8.5396803118097386E-2</v>
      </c>
      <c r="W40" s="6">
        <f t="shared" ref="W40" si="91">W26/V26-1</f>
        <v>8.0194469310841399E-2</v>
      </c>
    </row>
    <row r="41" spans="1:116" s="4" customFormat="1" ht="15" x14ac:dyDescent="0.25">
      <c r="A41" s="4" t="s">
        <v>32</v>
      </c>
      <c r="C41" s="6">
        <f>C26/B26-1</f>
        <v>-1</v>
      </c>
      <c r="D41" s="6" t="e">
        <f t="shared" ref="D41:G41" si="92">D26/C26-1</f>
        <v>#DIV/0!</v>
      </c>
      <c r="E41" s="6" t="e">
        <f t="shared" si="92"/>
        <v>#DIV/0!</v>
      </c>
      <c r="F41" s="6" t="e">
        <f t="shared" si="92"/>
        <v>#DIV/0!</v>
      </c>
      <c r="G41" s="6">
        <f t="shared" si="92"/>
        <v>3.0000000000000027E-2</v>
      </c>
      <c r="H41" s="6">
        <f t="shared" ref="H41:I41" si="93">H26/G26-1</f>
        <v>3.0000000000000027E-2</v>
      </c>
      <c r="I41" s="6">
        <f t="shared" si="93"/>
        <v>3.0000000000000027E-2</v>
      </c>
    </row>
    <row r="42" spans="1:116" x14ac:dyDescent="0.2">
      <c r="A42" s="1" t="s">
        <v>19</v>
      </c>
      <c r="B42" s="3">
        <f>B35/B34</f>
        <v>0.15767417496071243</v>
      </c>
      <c r="C42" s="3" t="e">
        <f t="shared" ref="C42:K42" si="94">C35/C34</f>
        <v>#DIV/0!</v>
      </c>
      <c r="D42" s="3" t="e">
        <f t="shared" si="94"/>
        <v>#DIV/0!</v>
      </c>
      <c r="E42" s="3" t="e">
        <f t="shared" si="94"/>
        <v>#DIV/0!</v>
      </c>
      <c r="F42" s="3">
        <f t="shared" si="94"/>
        <v>0.13859708573364962</v>
      </c>
      <c r="G42" s="3">
        <v>0.16500000000000001</v>
      </c>
      <c r="H42" s="3">
        <v>0.16500000000000001</v>
      </c>
      <c r="I42" s="3">
        <v>0.16500000000000001</v>
      </c>
      <c r="K42" s="3">
        <f t="shared" si="94"/>
        <v>0.10491193523684499</v>
      </c>
      <c r="L42" s="3">
        <f t="shared" ref="L42" si="95">L35/L34</f>
        <v>0.51184834123222744</v>
      </c>
      <c r="M42" s="3">
        <f t="shared" ref="M42" si="96">M35/M34</f>
        <v>0.13861826813708522</v>
      </c>
      <c r="N42" s="7">
        <v>0.16500000000000001</v>
      </c>
      <c r="O42" s="7">
        <v>0.16500000000000001</v>
      </c>
      <c r="P42" s="3">
        <v>0.21</v>
      </c>
      <c r="Q42" s="3">
        <v>0.21</v>
      </c>
      <c r="R42" s="3">
        <v>0.21</v>
      </c>
      <c r="S42" s="3">
        <v>0.21</v>
      </c>
      <c r="T42" s="3">
        <v>0.21</v>
      </c>
      <c r="U42" s="3">
        <v>0.21</v>
      </c>
      <c r="V42" s="3">
        <v>0.21</v>
      </c>
      <c r="W42" s="3">
        <v>0.21</v>
      </c>
    </row>
    <row r="43" spans="1:116" x14ac:dyDescent="0.2">
      <c r="B43" s="3"/>
      <c r="C43" s="3"/>
      <c r="D43" s="3"/>
      <c r="E43" s="3"/>
      <c r="F43" s="3"/>
      <c r="G43" s="3"/>
      <c r="H43" s="3"/>
      <c r="I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116" x14ac:dyDescent="0.2">
      <c r="A44" s="1" t="s">
        <v>63</v>
      </c>
      <c r="B44" s="3"/>
      <c r="C44" s="3"/>
      <c r="D44" s="3"/>
      <c r="E44" s="3"/>
      <c r="F44" s="3"/>
      <c r="G44" s="3"/>
      <c r="H44" s="3"/>
      <c r="I44" s="3"/>
      <c r="K44" s="3"/>
      <c r="L44" s="3"/>
      <c r="M44" s="3">
        <f>M9/L9-1</f>
        <v>0.1787613450081964</v>
      </c>
      <c r="N44" s="3">
        <f t="shared" ref="N44:R44" si="97">N9/M9-1</f>
        <v>9.000000000000008E-2</v>
      </c>
      <c r="O44" s="3">
        <f t="shared" si="97"/>
        <v>9.000000000000008E-2</v>
      </c>
      <c r="P44" s="3">
        <f t="shared" si="97"/>
        <v>9.000000000000008E-2</v>
      </c>
      <c r="Q44" s="3">
        <f t="shared" si="97"/>
        <v>9.000000000000008E-2</v>
      </c>
      <c r="R44" s="3">
        <f t="shared" si="97"/>
        <v>-0.5</v>
      </c>
      <c r="S44" s="3">
        <f t="shared" ref="S44" si="98">S9/R9-1</f>
        <v>4.0000000000000036E-2</v>
      </c>
      <c r="T44" s="3">
        <f t="shared" ref="T44" si="99">T9/S9-1</f>
        <v>4.0000000000000036E-2</v>
      </c>
      <c r="U44" s="3">
        <f t="shared" ref="U44" si="100">U9/T9-1</f>
        <v>4.0000000000000036E-2</v>
      </c>
      <c r="V44" s="3">
        <f t="shared" ref="V44" si="101">V9/U9-1</f>
        <v>4.0000000000000036E-2</v>
      </c>
      <c r="W44" s="3">
        <f t="shared" ref="W44" si="102">W9/V9-1</f>
        <v>4.0000000000000036E-2</v>
      </c>
    </row>
    <row r="45" spans="1:116" x14ac:dyDescent="0.2">
      <c r="A45" s="1" t="s">
        <v>66</v>
      </c>
      <c r="B45" s="3"/>
      <c r="C45" s="3"/>
      <c r="D45" s="3"/>
      <c r="E45" s="3"/>
      <c r="F45" s="3"/>
      <c r="G45" s="3"/>
      <c r="H45" s="3"/>
      <c r="I45" s="3"/>
      <c r="K45" s="3"/>
      <c r="L45" s="3"/>
      <c r="M45" s="3">
        <f>M11/L11-1</f>
        <v>-3.4098582039162717E-2</v>
      </c>
      <c r="N45" s="3">
        <f t="shared" ref="N45:R45" si="103">N11/M11-1</f>
        <v>8.0000000000000071E-2</v>
      </c>
      <c r="O45" s="3">
        <f t="shared" si="103"/>
        <v>8.0000000000000071E-2</v>
      </c>
      <c r="P45" s="3">
        <f t="shared" si="103"/>
        <v>8.0000000000000071E-2</v>
      </c>
      <c r="Q45" s="3">
        <f t="shared" si="103"/>
        <v>1.7377915789568377E-2</v>
      </c>
      <c r="R45" s="3">
        <f t="shared" si="103"/>
        <v>-0.8</v>
      </c>
      <c r="S45" s="3">
        <f t="shared" ref="S45:S46" si="104">S11/R11-1</f>
        <v>-0.8</v>
      </c>
      <c r="T45" s="3">
        <f t="shared" ref="T45:T46" si="105">T11/S11-1</f>
        <v>-1</v>
      </c>
      <c r="U45" s="3" t="e">
        <f t="shared" ref="U45:U46" si="106">U11/T11-1</f>
        <v>#DIV/0!</v>
      </c>
      <c r="V45" s="3" t="e">
        <f t="shared" ref="V45:V46" si="107">V11/U11-1</f>
        <v>#DIV/0!</v>
      </c>
      <c r="W45" s="3" t="e">
        <f t="shared" ref="W45:W46" si="108">W11/V11-1</f>
        <v>#DIV/0!</v>
      </c>
    </row>
    <row r="46" spans="1:116" x14ac:dyDescent="0.2">
      <c r="A46" s="1" t="s">
        <v>67</v>
      </c>
      <c r="B46" s="3"/>
      <c r="C46" s="3"/>
      <c r="D46" s="3"/>
      <c r="E46" s="3"/>
      <c r="F46" s="3"/>
      <c r="G46" s="3"/>
      <c r="H46" s="3"/>
      <c r="I46" s="3"/>
      <c r="K46" s="3"/>
      <c r="L46" s="3"/>
      <c r="M46" s="3">
        <f>M12/L12-1</f>
        <v>4.9408783783783772E-2</v>
      </c>
      <c r="N46" s="3">
        <f t="shared" ref="N46:R46" si="109">N12/M12-1</f>
        <v>0.10000000000000009</v>
      </c>
      <c r="O46" s="3">
        <f t="shared" si="109"/>
        <v>0.10000000000000009</v>
      </c>
      <c r="P46" s="3">
        <f t="shared" si="109"/>
        <v>0.10000000000000009</v>
      </c>
      <c r="Q46" s="3">
        <f t="shared" si="109"/>
        <v>0.10000000000000009</v>
      </c>
      <c r="R46" s="3">
        <f t="shared" si="109"/>
        <v>0.10000000000000009</v>
      </c>
      <c r="S46" s="3">
        <f t="shared" si="104"/>
        <v>5.0000000000000044E-2</v>
      </c>
      <c r="T46" s="3">
        <f t="shared" si="105"/>
        <v>5.0000000000000044E-2</v>
      </c>
      <c r="U46" s="3">
        <f t="shared" si="106"/>
        <v>5.0000000000000044E-2</v>
      </c>
      <c r="V46" s="3">
        <f t="shared" si="107"/>
        <v>5.0000000000000044E-2</v>
      </c>
      <c r="W46" s="3">
        <f t="shared" si="108"/>
        <v>2.7834022398020908E-2</v>
      </c>
    </row>
    <row r="47" spans="1:116" x14ac:dyDescent="0.2">
      <c r="A47" s="1" t="s">
        <v>64</v>
      </c>
      <c r="B47" s="3"/>
      <c r="C47" s="3"/>
      <c r="D47" s="3"/>
      <c r="E47" s="3"/>
      <c r="F47" s="3"/>
      <c r="G47" s="3"/>
      <c r="H47" s="3"/>
      <c r="I47" s="3"/>
      <c r="K47" s="3"/>
      <c r="L47" s="3"/>
      <c r="M47" s="3">
        <f>M19/L19-1</f>
        <v>-0.39058931018730014</v>
      </c>
      <c r="N47" s="3">
        <f t="shared" ref="N47:R47" si="110">N19/M19-1</f>
        <v>9.000000000000008E-2</v>
      </c>
      <c r="O47" s="3">
        <f t="shared" si="110"/>
        <v>9.000000000000008E-2</v>
      </c>
      <c r="P47" s="3">
        <f t="shared" si="110"/>
        <v>9.000000000000008E-2</v>
      </c>
      <c r="Q47" s="3">
        <f t="shared" si="110"/>
        <v>9.000000000000008E-2</v>
      </c>
      <c r="R47" s="3">
        <f t="shared" si="110"/>
        <v>9.000000000000008E-2</v>
      </c>
      <c r="S47" s="3">
        <f t="shared" ref="S47" si="111">S19/R19-1</f>
        <v>9.000000000000008E-2</v>
      </c>
      <c r="T47" s="3">
        <f t="shared" ref="T47" si="112">T19/S19-1</f>
        <v>9.000000000000008E-2</v>
      </c>
      <c r="U47" s="3">
        <f t="shared" ref="U47" si="113">U19/T19-1</f>
        <v>9.000000000000008E-2</v>
      </c>
      <c r="V47" s="3">
        <f t="shared" ref="V47" si="114">V19/U19-1</f>
        <v>9.000000000000008E-2</v>
      </c>
      <c r="W47" s="3">
        <f t="shared" ref="W47" si="115">W19/V19-1</f>
        <v>3.5444781520916457E-2</v>
      </c>
    </row>
    <row r="48" spans="1:116" x14ac:dyDescent="0.2">
      <c r="A48" s="1" t="s">
        <v>65</v>
      </c>
      <c r="B48" s="3"/>
      <c r="C48" s="3"/>
      <c r="D48" s="3"/>
      <c r="E48" s="3"/>
      <c r="F48" s="3"/>
      <c r="G48" s="3"/>
      <c r="H48" s="3"/>
      <c r="I48" s="3"/>
      <c r="K48" s="3"/>
      <c r="L48" s="3"/>
      <c r="M48" s="3">
        <f>SUM(M22:M23)/SUM(L22:L23)-1</f>
        <v>4.4799999999999951E-2</v>
      </c>
      <c r="N48" s="3">
        <f t="shared" ref="N48:R48" si="116">SUM(N22:N23)/SUM(M22:M23)-1</f>
        <v>7.589076059213884E-2</v>
      </c>
      <c r="O48" s="3">
        <f t="shared" si="116"/>
        <v>7.5913259665887134E-2</v>
      </c>
      <c r="P48" s="3">
        <f t="shared" si="116"/>
        <v>7.5935720544183294E-2</v>
      </c>
      <c r="Q48" s="3">
        <f t="shared" si="116"/>
        <v>7.5958142354894287E-2</v>
      </c>
      <c r="R48" s="3">
        <f t="shared" si="116"/>
        <v>7.5980524232292401E-2</v>
      </c>
      <c r="S48" s="3">
        <f t="shared" ref="S48" si="117">SUM(S22:S23)/SUM(R22:R23)-1</f>
        <v>7.6002865317180479E-2</v>
      </c>
      <c r="T48" s="3">
        <f t="shared" ref="T48" si="118">SUM(T22:T23)/SUM(S22:S23)-1</f>
        <v>7.6025164757013819E-2</v>
      </c>
      <c r="U48" s="3">
        <f t="shared" ref="U48" si="119">SUM(U22:U23)/SUM(T22:T23)-1</f>
        <v>7.6047421706019636E-2</v>
      </c>
      <c r="V48" s="3">
        <f t="shared" ref="V48" si="120">SUM(V22:V23)/SUM(U22:U23)-1</f>
        <v>7.0000000000000062E-2</v>
      </c>
      <c r="W48" s="3">
        <f t="shared" ref="W48" si="121">SUM(W22:W23)/SUM(V22:V23)-1</f>
        <v>4.0512734854053711E-2</v>
      </c>
    </row>
    <row r="50" spans="1:23" x14ac:dyDescent="0.2">
      <c r="A50" s="1" t="s">
        <v>20</v>
      </c>
      <c r="B50" s="3">
        <f>B28/B26</f>
        <v>0.77559429477020603</v>
      </c>
      <c r="C50" s="3" t="e">
        <f t="shared" ref="C50:I50" si="122">C28/C26</f>
        <v>#DIV/0!</v>
      </c>
      <c r="D50" s="3" t="e">
        <f t="shared" si="122"/>
        <v>#DIV/0!</v>
      </c>
      <c r="E50" s="3" t="e">
        <f t="shared" si="122"/>
        <v>#DIV/0!</v>
      </c>
      <c r="F50" s="3">
        <f t="shared" si="122"/>
        <v>0.77983128340524177</v>
      </c>
      <c r="G50" s="3">
        <f t="shared" si="122"/>
        <v>0.77983128340524188</v>
      </c>
      <c r="H50" s="3">
        <f t="shared" si="122"/>
        <v>0.77983128340524188</v>
      </c>
      <c r="I50" s="3">
        <f t="shared" si="122"/>
        <v>0.77983128340524188</v>
      </c>
      <c r="K50" s="3">
        <f t="shared" ref="K50:R50" si="123">K28/K26</f>
        <v>0.70630703574380516</v>
      </c>
      <c r="L50" s="3">
        <f t="shared" si="123"/>
        <v>0.73174748398902101</v>
      </c>
      <c r="M50" s="3">
        <f t="shared" si="123"/>
        <v>0.76323089390350329</v>
      </c>
      <c r="N50" s="3">
        <f t="shared" si="123"/>
        <v>0.79238381733204633</v>
      </c>
      <c r="O50" s="3">
        <f t="shared" si="123"/>
        <v>0.79238381733204633</v>
      </c>
      <c r="P50" s="3">
        <f t="shared" si="123"/>
        <v>0.79238381733204633</v>
      </c>
      <c r="Q50" s="3">
        <f t="shared" si="123"/>
        <v>0.79238381733204633</v>
      </c>
      <c r="R50" s="3">
        <f t="shared" si="123"/>
        <v>0.79238381733204621</v>
      </c>
      <c r="S50" s="3">
        <f t="shared" ref="S50:W50" si="124">S28/S26</f>
        <v>0.79238381733204621</v>
      </c>
      <c r="T50" s="3">
        <f t="shared" si="124"/>
        <v>0.79238381733204621</v>
      </c>
      <c r="U50" s="3">
        <f t="shared" si="124"/>
        <v>0.79238381733204633</v>
      </c>
      <c r="V50" s="3">
        <f t="shared" si="124"/>
        <v>0.79238381733204633</v>
      </c>
      <c r="W50" s="3">
        <f t="shared" si="124"/>
        <v>0.79238381733204621</v>
      </c>
    </row>
    <row r="51" spans="1:23" s="4" customFormat="1" ht="15" x14ac:dyDescent="0.25">
      <c r="A51" s="4" t="s">
        <v>21</v>
      </c>
      <c r="B51" s="6">
        <f>B32/B26</f>
        <v>0.36513470681458005</v>
      </c>
      <c r="C51" s="6" t="e">
        <f t="shared" ref="C51:I51" si="125">C32/C26</f>
        <v>#DIV/0!</v>
      </c>
      <c r="D51" s="6" t="e">
        <f t="shared" si="125"/>
        <v>#DIV/0!</v>
      </c>
      <c r="E51" s="6" t="e">
        <f t="shared" si="125"/>
        <v>#DIV/0!</v>
      </c>
      <c r="F51" s="6">
        <f t="shared" si="125"/>
        <v>0.38231695537381671</v>
      </c>
      <c r="G51" s="6">
        <f t="shared" si="125"/>
        <v>0.38231695537381677</v>
      </c>
      <c r="H51" s="6">
        <f t="shared" si="125"/>
        <v>0.38231695537381677</v>
      </c>
      <c r="I51" s="6">
        <f t="shared" si="125"/>
        <v>0.38231695537381688</v>
      </c>
      <c r="K51" s="6">
        <f t="shared" ref="K51:R51" si="126">K32/K26</f>
        <v>0.3083852031779768</v>
      </c>
      <c r="L51" s="6">
        <f t="shared" si="126"/>
        <v>4.9139149962571738E-2</v>
      </c>
      <c r="M51" s="6">
        <f t="shared" si="126"/>
        <v>0.31512591946141377</v>
      </c>
      <c r="N51" s="6">
        <f t="shared" si="126"/>
        <v>0.41753307278414409</v>
      </c>
      <c r="O51" s="6">
        <f t="shared" si="126"/>
        <v>0.41753307278414403</v>
      </c>
      <c r="P51" s="6">
        <f t="shared" si="126"/>
        <v>0.41753307278414409</v>
      </c>
      <c r="Q51" s="6">
        <f t="shared" si="126"/>
        <v>0.41753307278414403</v>
      </c>
      <c r="R51" s="6">
        <f t="shared" si="126"/>
        <v>0.41753307278414398</v>
      </c>
      <c r="S51" s="6">
        <f t="shared" ref="S51:W51" si="127">S32/S26</f>
        <v>0.41753307278414392</v>
      </c>
      <c r="T51" s="6">
        <f t="shared" si="127"/>
        <v>0.41753307278414392</v>
      </c>
      <c r="U51" s="6">
        <f t="shared" si="127"/>
        <v>0.41753307278414403</v>
      </c>
      <c r="V51" s="6">
        <f t="shared" si="127"/>
        <v>0.41753307278414403</v>
      </c>
      <c r="W51" s="6">
        <f t="shared" si="127"/>
        <v>0.41753307278414398</v>
      </c>
    </row>
    <row r="52" spans="1:23" x14ac:dyDescent="0.2">
      <c r="A52" s="1" t="s">
        <v>22</v>
      </c>
      <c r="B52" s="3">
        <f>B113/B26</f>
        <v>0</v>
      </c>
      <c r="C52" s="3" t="e">
        <f t="shared" ref="C52:I52" si="128">C113/C26</f>
        <v>#DIV/0!</v>
      </c>
      <c r="D52" s="3" t="e">
        <f t="shared" si="128"/>
        <v>#DIV/0!</v>
      </c>
      <c r="E52" s="3" t="e">
        <f t="shared" si="128"/>
        <v>#DIV/0!</v>
      </c>
      <c r="F52" s="3">
        <f t="shared" si="128"/>
        <v>0</v>
      </c>
      <c r="G52" s="3">
        <f t="shared" si="128"/>
        <v>0</v>
      </c>
      <c r="H52" s="3">
        <f t="shared" si="128"/>
        <v>0</v>
      </c>
      <c r="I52" s="3">
        <f t="shared" si="128"/>
        <v>0</v>
      </c>
      <c r="K52" s="3">
        <f>K113/K26</f>
        <v>0.27908506654521531</v>
      </c>
      <c r="L52" s="3">
        <f>L113/L26</f>
        <v>0.16980786825251601</v>
      </c>
      <c r="M52" s="3">
        <f t="shared" ref="M52:R52" si="129">M113/M26</f>
        <v>0.28645119062461039</v>
      </c>
      <c r="N52" s="3">
        <f t="shared" si="129"/>
        <v>0.35366290900670694</v>
      </c>
      <c r="O52" s="3">
        <f t="shared" si="129"/>
        <v>0.34493686665048717</v>
      </c>
      <c r="P52" s="3">
        <f t="shared" si="129"/>
        <v>0.33733749865604634</v>
      </c>
      <c r="Q52" s="3">
        <f t="shared" si="129"/>
        <v>0.34734684844036312</v>
      </c>
      <c r="R52" s="3">
        <f t="shared" si="129"/>
        <v>0.34487673570538396</v>
      </c>
      <c r="S52" s="3">
        <f t="shared" ref="S52:W52" si="130">S113/S26</f>
        <v>0.35229173293281296</v>
      </c>
      <c r="T52" s="3">
        <f t="shared" si="130"/>
        <v>0.36007421541649504</v>
      </c>
      <c r="U52" s="3">
        <f t="shared" si="130"/>
        <v>0.36771634818959631</v>
      </c>
      <c r="V52" s="3">
        <f t="shared" si="130"/>
        <v>0.37505279751678389</v>
      </c>
      <c r="W52" s="3">
        <f t="shared" si="130"/>
        <v>0.38209203991593499</v>
      </c>
    </row>
    <row r="53" spans="1:23" x14ac:dyDescent="0.2">
      <c r="K53" s="3"/>
      <c r="L53" s="3"/>
      <c r="M53" s="3"/>
    </row>
    <row r="54" spans="1:23" x14ac:dyDescent="0.2">
      <c r="A54" s="1" t="s">
        <v>25</v>
      </c>
      <c r="F54" s="1">
        <f>F55-F56</f>
        <v>-32320</v>
      </c>
      <c r="G54" s="1">
        <f>F54+G36</f>
        <v>-27483.755149999997</v>
      </c>
      <c r="H54" s="1">
        <f>G54+H36</f>
        <v>-22453.944150002495</v>
      </c>
      <c r="I54" s="1">
        <f>H54+I36</f>
        <v>-17224.355217490011</v>
      </c>
      <c r="L54" s="1">
        <f>L55-L56</f>
        <v>-36253</v>
      </c>
      <c r="M54" s="1">
        <f>M55-M56</f>
        <v>-28625</v>
      </c>
      <c r="N54" s="1">
        <f>I54</f>
        <v>-17224.355217490011</v>
      </c>
      <c r="O54" s="1">
        <f>N54+O36</f>
        <v>8046.5331884836196</v>
      </c>
      <c r="P54" s="1">
        <f>O54+P36</f>
        <v>34673.607683613984</v>
      </c>
      <c r="Q54" s="1">
        <f>P54+Q36</f>
        <v>64057.242196403793</v>
      </c>
      <c r="R54" s="1">
        <f>Q54+R36</f>
        <v>85174.517090185851</v>
      </c>
      <c r="S54" s="1">
        <f t="shared" ref="S54:W54" si="131">R54+S36</f>
        <v>107604.04591034407</v>
      </c>
      <c r="T54" s="1">
        <f t="shared" si="131"/>
        <v>132015.35000122632</v>
      </c>
      <c r="U54" s="1">
        <f t="shared" si="131"/>
        <v>158855.68355636485</v>
      </c>
      <c r="V54" s="1">
        <f t="shared" si="131"/>
        <v>188480.00176433512</v>
      </c>
      <c r="W54" s="1">
        <f t="shared" si="131"/>
        <v>221013.59153228282</v>
      </c>
    </row>
    <row r="55" spans="1:23" x14ac:dyDescent="0.2">
      <c r="A55" s="1" t="s">
        <v>4</v>
      </c>
      <c r="F55" s="1">
        <f>8629+599</f>
        <v>9228</v>
      </c>
      <c r="L55" s="1">
        <f>L58+L59</f>
        <v>7093</v>
      </c>
      <c r="M55" s="1">
        <f>M58+M59</f>
        <v>13689</v>
      </c>
    </row>
    <row r="56" spans="1:23" x14ac:dyDescent="0.2">
      <c r="A56" s="1" t="s">
        <v>5</v>
      </c>
      <c r="F56" s="1">
        <f>33484+1409+6655</f>
        <v>41548</v>
      </c>
      <c r="L56" s="1">
        <f>SUM(L81:L83)</f>
        <v>43346</v>
      </c>
      <c r="M56" s="1">
        <f>SUM(M81:M83)</f>
        <v>42314</v>
      </c>
    </row>
    <row r="58" spans="1:23" x14ac:dyDescent="0.2">
      <c r="A58" s="1" t="s">
        <v>4</v>
      </c>
      <c r="F58" s="1">
        <f>8629+599</f>
        <v>9228</v>
      </c>
      <c r="L58" s="1">
        <v>6841</v>
      </c>
      <c r="M58" s="1">
        <v>13242</v>
      </c>
    </row>
    <row r="59" spans="1:23" x14ac:dyDescent="0.2">
      <c r="A59" s="1" t="s">
        <v>88</v>
      </c>
      <c r="L59" s="1">
        <v>252</v>
      </c>
      <c r="M59" s="1">
        <v>447</v>
      </c>
    </row>
    <row r="60" spans="1:23" x14ac:dyDescent="0.2">
      <c r="A60" s="1" t="s">
        <v>69</v>
      </c>
      <c r="L60" s="1">
        <v>10349</v>
      </c>
      <c r="M60" s="1">
        <v>10278</v>
      </c>
    </row>
    <row r="61" spans="1:23" x14ac:dyDescent="0.2">
      <c r="A61" s="1" t="s">
        <v>70</v>
      </c>
      <c r="L61" s="1">
        <v>6358</v>
      </c>
      <c r="M61" s="1">
        <v>6109</v>
      </c>
    </row>
    <row r="62" spans="1:23" x14ac:dyDescent="0.2">
      <c r="A62" s="1" t="s">
        <v>71</v>
      </c>
      <c r="L62" s="1">
        <v>8368</v>
      </c>
      <c r="M62" s="1">
        <v>8706</v>
      </c>
    </row>
    <row r="63" spans="1:23" x14ac:dyDescent="0.2">
      <c r="A63" s="1" t="s">
        <v>72</v>
      </c>
      <c r="L63" s="1">
        <v>252</v>
      </c>
      <c r="M63" s="1">
        <v>463</v>
      </c>
    </row>
    <row r="64" spans="1:23" x14ac:dyDescent="0.2">
      <c r="A64" s="1" t="s">
        <v>74</v>
      </c>
      <c r="L64" s="1">
        <v>326</v>
      </c>
      <c r="M64" s="1">
        <v>307</v>
      </c>
    </row>
    <row r="65" spans="1:13" x14ac:dyDescent="0.2">
      <c r="A65" s="1" t="s">
        <v>75</v>
      </c>
      <c r="L65" s="1">
        <v>14966</v>
      </c>
      <c r="M65" s="1">
        <v>16360</v>
      </c>
    </row>
    <row r="66" spans="1:13" x14ac:dyDescent="0.2">
      <c r="A66" s="1" t="s">
        <v>76</v>
      </c>
      <c r="L66" s="1">
        <v>17763</v>
      </c>
      <c r="M66" s="1">
        <v>18283</v>
      </c>
    </row>
    <row r="67" spans="1:13" x14ac:dyDescent="0.2">
      <c r="A67" s="1" t="s">
        <v>77</v>
      </c>
      <c r="L67" s="1">
        <v>8262</v>
      </c>
      <c r="M67" s="1">
        <v>7984</v>
      </c>
    </row>
    <row r="68" spans="1:13" x14ac:dyDescent="0.2">
      <c r="A68" s="1" t="s">
        <v>73</v>
      </c>
      <c r="L68" s="1">
        <f>SUM(L64:L67)</f>
        <v>41317</v>
      </c>
      <c r="M68" s="1">
        <f>SUM(M64:M67)</f>
        <v>42934</v>
      </c>
    </row>
    <row r="69" spans="1:13" x14ac:dyDescent="0.2">
      <c r="A69" s="1" t="s">
        <v>78</v>
      </c>
      <c r="L69" s="1">
        <v>18266</v>
      </c>
      <c r="M69" s="1">
        <v>19155</v>
      </c>
    </row>
    <row r="70" spans="1:13" x14ac:dyDescent="0.2">
      <c r="A70" s="1" t="s">
        <v>96</v>
      </c>
      <c r="L70" s="1">
        <f>L68-L69</f>
        <v>23051</v>
      </c>
      <c r="M70" s="1">
        <f>M68-M69</f>
        <v>23779</v>
      </c>
    </row>
    <row r="71" spans="1:13" x14ac:dyDescent="0.2">
      <c r="A71" s="1" t="s">
        <v>79</v>
      </c>
      <c r="L71" s="1">
        <v>21197</v>
      </c>
      <c r="M71" s="1">
        <v>21668</v>
      </c>
    </row>
    <row r="72" spans="1:13" x14ac:dyDescent="0.2">
      <c r="A72" s="1" t="s">
        <v>80</v>
      </c>
      <c r="L72" s="1">
        <v>18011</v>
      </c>
      <c r="M72" s="1">
        <v>16370</v>
      </c>
    </row>
    <row r="73" spans="1:13" x14ac:dyDescent="0.2">
      <c r="A73" s="1" t="s">
        <v>81</v>
      </c>
      <c r="L73" s="1">
        <v>11996</v>
      </c>
      <c r="M73" s="1">
        <v>16044</v>
      </c>
    </row>
    <row r="74" spans="1:13" x14ac:dyDescent="0.2">
      <c r="A74" s="1" t="s">
        <v>93</v>
      </c>
      <c r="L74" s="1">
        <f>SUM(L70:L73,L58:L63)</f>
        <v>106675</v>
      </c>
      <c r="M74" s="1">
        <f>SUM(M70:M73,M58:M63)</f>
        <v>117106</v>
      </c>
    </row>
    <row r="76" spans="1:13" x14ac:dyDescent="0.2">
      <c r="A76" s="1" t="s">
        <v>82</v>
      </c>
      <c r="L76" s="1">
        <v>1372</v>
      </c>
      <c r="M76" s="1">
        <v>2649</v>
      </c>
    </row>
    <row r="77" spans="1:13" x14ac:dyDescent="0.2">
      <c r="A77" s="1" t="s">
        <v>83</v>
      </c>
      <c r="L77" s="1">
        <v>3922</v>
      </c>
      <c r="M77" s="1">
        <v>4079</v>
      </c>
    </row>
    <row r="78" spans="1:13" x14ac:dyDescent="0.2">
      <c r="A78" s="1" t="s">
        <v>84</v>
      </c>
      <c r="L78" s="1">
        <v>15766</v>
      </c>
      <c r="M78" s="1">
        <v>15694</v>
      </c>
    </row>
    <row r="79" spans="1:13" x14ac:dyDescent="0.2">
      <c r="A79" s="1" t="s">
        <v>85</v>
      </c>
      <c r="L79" s="1">
        <v>2649</v>
      </c>
      <c r="M79" s="1">
        <v>3914</v>
      </c>
    </row>
    <row r="80" spans="1:13" x14ac:dyDescent="0.2">
      <c r="A80" s="1" t="s">
        <v>86</v>
      </c>
      <c r="L80" s="1">
        <v>1985</v>
      </c>
      <c r="M80" s="1">
        <v>2084</v>
      </c>
    </row>
    <row r="81" spans="1:23" x14ac:dyDescent="0.2">
      <c r="A81" s="1" t="s">
        <v>87</v>
      </c>
      <c r="L81" s="1">
        <v>33683</v>
      </c>
      <c r="M81" s="1">
        <v>34462</v>
      </c>
    </row>
    <row r="82" spans="1:23" x14ac:dyDescent="0.2">
      <c r="A82" s="1" t="s">
        <v>89</v>
      </c>
      <c r="L82" s="1">
        <v>871</v>
      </c>
      <c r="M82" s="1">
        <v>1387</v>
      </c>
    </row>
    <row r="83" spans="1:23" x14ac:dyDescent="0.2">
      <c r="A83" s="1" t="s">
        <v>90</v>
      </c>
      <c r="L83" s="1">
        <v>8792</v>
      </c>
      <c r="M83" s="1">
        <v>6465</v>
      </c>
    </row>
    <row r="84" spans="1:23" x14ac:dyDescent="0.2">
      <c r="A84" s="1" t="s">
        <v>95</v>
      </c>
      <c r="L84" s="1">
        <f>SUM(L77:L83)</f>
        <v>67668</v>
      </c>
      <c r="M84" s="1">
        <f>SUM(M77:M83)</f>
        <v>68085</v>
      </c>
    </row>
    <row r="85" spans="1:23" x14ac:dyDescent="0.2">
      <c r="A85" s="1" t="s">
        <v>91</v>
      </c>
      <c r="L85" s="1">
        <f>L74-L84</f>
        <v>39007</v>
      </c>
      <c r="M85" s="1">
        <f>M74-M84</f>
        <v>49021</v>
      </c>
    </row>
    <row r="86" spans="1:23" x14ac:dyDescent="0.2">
      <c r="A86" s="1" t="s">
        <v>94</v>
      </c>
      <c r="L86" s="1">
        <f>L85+L84</f>
        <v>106675</v>
      </c>
      <c r="M86" s="1">
        <f>M85+M84</f>
        <v>117106</v>
      </c>
    </row>
    <row r="88" spans="1:23" x14ac:dyDescent="0.2">
      <c r="A88" s="1" t="s">
        <v>92</v>
      </c>
      <c r="L88" s="1">
        <f>L60/L26*360</f>
        <v>61.9752141728354</v>
      </c>
      <c r="M88" s="1">
        <f>M60/M26*360</f>
        <v>57.662386236130153</v>
      </c>
    </row>
    <row r="90" spans="1:23" x14ac:dyDescent="0.2">
      <c r="A90" s="1" t="s">
        <v>98</v>
      </c>
      <c r="K90" s="1">
        <f>K36</f>
        <v>16364</v>
      </c>
      <c r="L90" s="1">
        <f t="shared" ref="L90:R90" si="132">L36</f>
        <v>1442</v>
      </c>
      <c r="M90" s="1">
        <f t="shared" si="132"/>
        <v>17418</v>
      </c>
      <c r="N90" s="1">
        <f t="shared" si="132"/>
        <v>24107.601099509975</v>
      </c>
      <c r="O90" s="1">
        <f t="shared" si="132"/>
        <v>25270.88840597363</v>
      </c>
      <c r="P90" s="1">
        <f t="shared" si="132"/>
        <v>26627.07449513036</v>
      </c>
      <c r="Q90" s="1">
        <f t="shared" si="132"/>
        <v>29383.634512789809</v>
      </c>
      <c r="R90" s="1">
        <f t="shared" si="132"/>
        <v>21117.274893782058</v>
      </c>
      <c r="S90" s="1">
        <f t="shared" ref="S90:W90" si="133">S36</f>
        <v>22429.528820158215</v>
      </c>
      <c r="T90" s="1">
        <f t="shared" si="133"/>
        <v>24411.304090882251</v>
      </c>
      <c r="U90" s="1">
        <f t="shared" si="133"/>
        <v>26840.33355513851</v>
      </c>
      <c r="V90" s="1">
        <f t="shared" si="133"/>
        <v>29624.318207970275</v>
      </c>
      <c r="W90" s="1">
        <f t="shared" si="133"/>
        <v>32533.589767947691</v>
      </c>
    </row>
    <row r="91" spans="1:23" x14ac:dyDescent="0.2">
      <c r="A91" s="1" t="s">
        <v>99</v>
      </c>
      <c r="K91" s="1">
        <v>14526</v>
      </c>
      <c r="L91" s="1">
        <v>377</v>
      </c>
      <c r="M91" s="1">
        <v>17133</v>
      </c>
    </row>
    <row r="92" spans="1:23" x14ac:dyDescent="0.2">
      <c r="A92" s="1" t="s">
        <v>100</v>
      </c>
      <c r="K92" s="1">
        <f>2085+1824</f>
        <v>3909</v>
      </c>
      <c r="L92" s="1">
        <f>2044+1828</f>
        <v>3872</v>
      </c>
      <c r="M92" s="1">
        <f>2395+2104</f>
        <v>4499</v>
      </c>
      <c r="N92" s="1">
        <f>M92*(1+N40)</f>
        <v>4830.4583982670492</v>
      </c>
      <c r="O92" s="1">
        <f>N92*1.08</f>
        <v>5216.8950701284139</v>
      </c>
      <c r="P92" s="1">
        <f t="shared" ref="P92:Q92" si="134">O92*1.08</f>
        <v>5634.2466757386874</v>
      </c>
      <c r="Q92" s="1">
        <f t="shared" si="134"/>
        <v>6084.9864097977825</v>
      </c>
      <c r="R92" s="1">
        <f>Q92*(1+R40)</f>
        <v>4107.0863564403662</v>
      </c>
      <c r="S92" s="1">
        <f t="shared" ref="S92:W92" si="135">R92*(1+S40)</f>
        <v>4245.8203496605984</v>
      </c>
      <c r="T92" s="1">
        <f t="shared" si="135"/>
        <v>4519.6543055075945</v>
      </c>
      <c r="U92" s="1">
        <f t="shared" si="135"/>
        <v>4876.2255761482029</v>
      </c>
      <c r="V92" s="1">
        <f t="shared" si="135"/>
        <v>5292.6396516339619</v>
      </c>
      <c r="W92" s="1">
        <f t="shared" si="135"/>
        <v>5717.0800797502643</v>
      </c>
    </row>
    <row r="93" spans="1:23" x14ac:dyDescent="0.2">
      <c r="A93" s="1" t="s">
        <v>109</v>
      </c>
      <c r="K93" s="1">
        <v>1749</v>
      </c>
      <c r="L93" s="1">
        <v>792</v>
      </c>
      <c r="M93" s="1">
        <v>39</v>
      </c>
      <c r="N93" s="1">
        <f>M93*(1+N40)</f>
        <v>41.873277957860616</v>
      </c>
      <c r="O93" s="1">
        <f>N93*(1+O40)</f>
        <v>45.057297811993514</v>
      </c>
      <c r="P93" s="1">
        <f>O93*(1+P40)</f>
        <v>48.594200212317688</v>
      </c>
      <c r="Q93" s="1">
        <f>P93*(1+Q40)</f>
        <v>52.123021544197734</v>
      </c>
      <c r="R93" s="1">
        <f>Q93*(1+R40)</f>
        <v>35.180645645474158</v>
      </c>
      <c r="S93" s="1">
        <f t="shared" ref="S93:W93" si="136">R93*(1+S40)</f>
        <v>36.369018869428665</v>
      </c>
      <c r="T93" s="1">
        <f t="shared" si="136"/>
        <v>38.714636791789843</v>
      </c>
      <c r="U93" s="1">
        <f t="shared" si="136"/>
        <v>41.768969335855459</v>
      </c>
      <c r="V93" s="1">
        <f t="shared" si="136"/>
        <v>45.335905786675355</v>
      </c>
      <c r="W93" s="1">
        <f t="shared" si="136"/>
        <v>48.971594691964086</v>
      </c>
    </row>
    <row r="94" spans="1:23" x14ac:dyDescent="0.2">
      <c r="A94" s="1" t="s">
        <v>101</v>
      </c>
      <c r="K94" s="1">
        <v>1419</v>
      </c>
      <c r="L94" s="1">
        <v>-340</v>
      </c>
      <c r="M94" s="1">
        <v>-14</v>
      </c>
      <c r="N94" s="1">
        <f>M94*(1+N40)</f>
        <v>-15.031433113078171</v>
      </c>
      <c r="O94" s="1">
        <f>N94*(1+O40)</f>
        <v>-16.174414599177162</v>
      </c>
      <c r="P94" s="1">
        <f>O94*(1+P40)</f>
        <v>-17.444071871088404</v>
      </c>
      <c r="Q94" s="1">
        <f>P94*(1+Q40)</f>
        <v>-18.710828246635089</v>
      </c>
      <c r="R94" s="1">
        <f>Q94*(1+R40)</f>
        <v>-12.628949718888162</v>
      </c>
      <c r="S94" s="1">
        <f t="shared" ref="S94:W94" si="137">R94*(1+S40)</f>
        <v>-13.055545235179522</v>
      </c>
      <c r="T94" s="1">
        <f t="shared" si="137"/>
        <v>-13.897561925257895</v>
      </c>
      <c r="U94" s="1">
        <f t="shared" si="137"/>
        <v>-14.993988992358373</v>
      </c>
      <c r="V94" s="1">
        <f t="shared" si="137"/>
        <v>-16.274427718293719</v>
      </c>
      <c r="W94" s="1">
        <f t="shared" si="137"/>
        <v>-17.579546812499931</v>
      </c>
    </row>
    <row r="95" spans="1:23" x14ac:dyDescent="0.2">
      <c r="A95" s="1" t="s">
        <v>102</v>
      </c>
      <c r="K95" s="1">
        <v>0</v>
      </c>
      <c r="L95" s="1">
        <v>11409</v>
      </c>
      <c r="M95" s="1">
        <v>3456</v>
      </c>
      <c r="N95" s="1">
        <f>M95*(1+N40)</f>
        <v>3710.6166313427257</v>
      </c>
      <c r="O95" s="1">
        <f>N95*(1+O40)</f>
        <v>3992.7697753397333</v>
      </c>
      <c r="P95" s="1">
        <f>O95*(1+P40)</f>
        <v>4306.1937418915368</v>
      </c>
      <c r="Q95" s="1">
        <f>P95*(1+Q40)</f>
        <v>4618.9016014550607</v>
      </c>
      <c r="R95" s="1">
        <f>Q95*(1+R40)</f>
        <v>3117.5464448912485</v>
      </c>
      <c r="S95" s="1">
        <f t="shared" ref="S95:W95" si="138">R95*(1+S40)</f>
        <v>3222.8545951986016</v>
      </c>
      <c r="T95" s="1">
        <f t="shared" si="138"/>
        <v>3430.7124295493768</v>
      </c>
      <c r="U95" s="1">
        <f t="shared" si="138"/>
        <v>3701.3732826850378</v>
      </c>
      <c r="V95" s="1">
        <f t="shared" si="138"/>
        <v>4017.4587281730778</v>
      </c>
      <c r="W95" s="1">
        <f t="shared" si="138"/>
        <v>4339.6366988571253</v>
      </c>
    </row>
    <row r="96" spans="1:23" x14ac:dyDescent="0.2">
      <c r="A96" s="1" t="s">
        <v>89</v>
      </c>
      <c r="K96" s="1">
        <v>-1568</v>
      </c>
      <c r="L96" s="1">
        <v>-1899</v>
      </c>
      <c r="M96" s="1">
        <v>-1249</v>
      </c>
      <c r="N96" s="1">
        <f>M96*(1+N40)</f>
        <v>-1341.0185684453311</v>
      </c>
      <c r="O96" s="1">
        <f>N96*(1+O40)</f>
        <v>-1442.9888453123053</v>
      </c>
      <c r="P96" s="1">
        <f>O96*(1+P40)</f>
        <v>-1556.2604119278153</v>
      </c>
      <c r="Q96" s="1">
        <f>P96*(1+Q40)</f>
        <v>-1669.2731771462302</v>
      </c>
      <c r="R96" s="1">
        <f>Q96*(1+R40)</f>
        <v>-1126.6827284922367</v>
      </c>
      <c r="S96" s="1">
        <f t="shared" ref="S96:W96" si="139">R96*(1+S40)</f>
        <v>-1164.7411427670875</v>
      </c>
      <c r="T96" s="1">
        <f t="shared" si="139"/>
        <v>-1239.8610603319364</v>
      </c>
      <c r="U96" s="1">
        <f t="shared" si="139"/>
        <v>-1337.6780179611148</v>
      </c>
      <c r="V96" s="1">
        <f t="shared" si="139"/>
        <v>-1451.9114442963469</v>
      </c>
      <c r="W96" s="1">
        <f t="shared" si="139"/>
        <v>-1568.3467120580297</v>
      </c>
    </row>
    <row r="97" spans="1:26" x14ac:dyDescent="0.2">
      <c r="A97" s="12" t="s">
        <v>114</v>
      </c>
      <c r="K97" s="1">
        <v>541</v>
      </c>
      <c r="L97" s="1">
        <v>645</v>
      </c>
      <c r="M97" s="1">
        <v>761</v>
      </c>
      <c r="N97" s="1">
        <f>M97*(1+N41)</f>
        <v>761</v>
      </c>
      <c r="O97" s="1">
        <f>N97*1.1</f>
        <v>837.1</v>
      </c>
      <c r="P97" s="1">
        <f t="shared" ref="P97:W97" si="140">O97*1.1</f>
        <v>920.81000000000006</v>
      </c>
      <c r="Q97" s="1">
        <f t="shared" si="140"/>
        <v>1012.8910000000002</v>
      </c>
      <c r="R97" s="1">
        <f t="shared" si="140"/>
        <v>1114.1801000000003</v>
      </c>
      <c r="S97" s="1">
        <f t="shared" si="140"/>
        <v>1225.5981100000004</v>
      </c>
      <c r="T97" s="1">
        <f t="shared" si="140"/>
        <v>1348.1579210000004</v>
      </c>
      <c r="U97" s="1">
        <f t="shared" si="140"/>
        <v>1482.9737131000006</v>
      </c>
      <c r="V97" s="1">
        <f t="shared" si="140"/>
        <v>1631.2710844100009</v>
      </c>
      <c r="W97" s="1">
        <f t="shared" si="140"/>
        <v>1794.3981928510011</v>
      </c>
    </row>
    <row r="98" spans="1:26" x14ac:dyDescent="0.2">
      <c r="A98" s="1" t="s">
        <v>49</v>
      </c>
      <c r="K98" s="1">
        <v>1301</v>
      </c>
      <c r="L98" s="1">
        <v>355</v>
      </c>
      <c r="M98" s="1">
        <v>510</v>
      </c>
      <c r="N98" s="1">
        <f>M98*(1+N40)</f>
        <v>547.57363483356198</v>
      </c>
      <c r="O98" s="1">
        <f>N98*(1+O40)</f>
        <v>589.21081754145371</v>
      </c>
      <c r="P98" s="1">
        <f>O98*(1+P40)</f>
        <v>635.46261816107744</v>
      </c>
      <c r="Q98" s="1">
        <f>P98*(1+Q40)</f>
        <v>681.60874327027807</v>
      </c>
      <c r="R98" s="1">
        <f>Q98*(1+R40)</f>
        <v>460.05459690235438</v>
      </c>
      <c r="S98" s="1">
        <f t="shared" ref="S98:W98" si="141">R98*(1+S40)</f>
        <v>475.59486213868252</v>
      </c>
      <c r="T98" s="1">
        <f t="shared" si="141"/>
        <v>506.26832727725179</v>
      </c>
      <c r="U98" s="1">
        <f t="shared" si="141"/>
        <v>546.20959900734067</v>
      </c>
      <c r="V98" s="1">
        <f t="shared" si="141"/>
        <v>592.85415259498541</v>
      </c>
      <c r="W98" s="1">
        <f t="shared" si="141"/>
        <v>640.39777674106881</v>
      </c>
    </row>
    <row r="99" spans="1:26" x14ac:dyDescent="0.2">
      <c r="A99" s="1" t="s">
        <v>69</v>
      </c>
      <c r="K99" s="1">
        <v>-644</v>
      </c>
      <c r="L99" s="1">
        <v>-1148</v>
      </c>
      <c r="M99" s="1">
        <v>-244</v>
      </c>
      <c r="N99" s="1">
        <f>M99*(1+N40)</f>
        <v>-261.97640568507671</v>
      </c>
      <c r="O99" s="1">
        <f>N99*(1+O40)</f>
        <v>-281.89694015708767</v>
      </c>
      <c r="P99" s="1">
        <f>O99*(1+P40)</f>
        <v>-304.0252526103979</v>
      </c>
      <c r="Q99" s="1">
        <f>P99*(1+Q40)</f>
        <v>-326.10300658421153</v>
      </c>
      <c r="R99" s="1">
        <f>Q99*(1+R40)</f>
        <v>-220.10455224347939</v>
      </c>
      <c r="S99" s="1">
        <f t="shared" ref="S99:W99" si="142">R99*(1+S40)</f>
        <v>-227.53950267027167</v>
      </c>
      <c r="T99" s="1">
        <f t="shared" si="142"/>
        <v>-242.21465069735186</v>
      </c>
      <c r="U99" s="1">
        <f t="shared" si="142"/>
        <v>-261.32380815253163</v>
      </c>
      <c r="V99" s="1">
        <f t="shared" si="142"/>
        <v>-283.64002594740481</v>
      </c>
      <c r="W99" s="1">
        <f t="shared" si="142"/>
        <v>-306.38638730357025</v>
      </c>
    </row>
    <row r="100" spans="1:26" x14ac:dyDescent="0.2">
      <c r="A100" s="1" t="s">
        <v>70</v>
      </c>
      <c r="K100" s="1">
        <v>-161</v>
      </c>
      <c r="L100" s="1">
        <v>-816</v>
      </c>
      <c r="M100" s="1">
        <v>-835</v>
      </c>
      <c r="N100" s="1">
        <f>M100*(1+N40)</f>
        <v>-896.51761781573373</v>
      </c>
      <c r="O100" s="1">
        <f>N100*(1+O40)</f>
        <v>-964.68829930806635</v>
      </c>
      <c r="P100" s="1">
        <f>O100*(1+P40)</f>
        <v>-1040.4142865970582</v>
      </c>
      <c r="Q100" s="1">
        <f>P100*(1+Q40)</f>
        <v>-1115.9672561385926</v>
      </c>
      <c r="R100" s="1">
        <f>Q100*(1+R40)</f>
        <v>-753.22664394797243</v>
      </c>
      <c r="S100" s="1">
        <f t="shared" ref="S100:W100" si="143">R100*(1+S40)</f>
        <v>-778.6700193839215</v>
      </c>
      <c r="T100" s="1">
        <f t="shared" si="143"/>
        <v>-828.89030054216721</v>
      </c>
      <c r="U100" s="1">
        <f t="shared" si="143"/>
        <v>-894.2843434728029</v>
      </c>
      <c r="V100" s="1">
        <f t="shared" si="143"/>
        <v>-970.65336748394679</v>
      </c>
      <c r="W100" s="1">
        <f t="shared" si="143"/>
        <v>-1048.4943991741031</v>
      </c>
    </row>
    <row r="101" spans="1:26" x14ac:dyDescent="0.2">
      <c r="A101" s="1" t="s">
        <v>83</v>
      </c>
      <c r="K101" s="1">
        <v>-289</v>
      </c>
      <c r="L101" s="1">
        <v>-380</v>
      </c>
      <c r="M101" s="1">
        <v>182</v>
      </c>
      <c r="N101" s="1">
        <f>M101*(1+N40)</f>
        <v>195.40863047001622</v>
      </c>
      <c r="O101" s="1">
        <f>N101*(1+O40)</f>
        <v>210.26738978930308</v>
      </c>
      <c r="P101" s="1">
        <f>O101*(1+P40)</f>
        <v>226.77293432414922</v>
      </c>
      <c r="Q101" s="1">
        <f>P101*(1+Q40)</f>
        <v>243.24076720625612</v>
      </c>
      <c r="R101" s="1">
        <f>Q101*(1+R40)</f>
        <v>164.17634634554608</v>
      </c>
      <c r="S101" s="1">
        <f t="shared" ref="S101:W101" si="144">R101*(1+S40)</f>
        <v>169.72208805733376</v>
      </c>
      <c r="T101" s="1">
        <f t="shared" si="144"/>
        <v>180.66830502835259</v>
      </c>
      <c r="U101" s="1">
        <f t="shared" si="144"/>
        <v>194.92185690065881</v>
      </c>
      <c r="V101" s="1">
        <f t="shared" si="144"/>
        <v>211.56756033781832</v>
      </c>
      <c r="W101" s="1">
        <f t="shared" si="144"/>
        <v>228.53410856249909</v>
      </c>
    </row>
    <row r="102" spans="1:26" x14ac:dyDescent="0.2">
      <c r="A102" s="1" t="s">
        <v>84</v>
      </c>
      <c r="K102" s="1">
        <v>-50</v>
      </c>
      <c r="L102" s="1">
        <v>1783</v>
      </c>
      <c r="M102" s="1">
        <v>-2328</v>
      </c>
      <c r="N102" s="1">
        <f>M102*(1+N40)</f>
        <v>-2499.5125919461416</v>
      </c>
      <c r="O102" s="1">
        <f>N102*(1+O40)</f>
        <v>-2689.5740847774591</v>
      </c>
      <c r="P102" s="1">
        <f>O102*(1+P40)</f>
        <v>-2900.699951135271</v>
      </c>
      <c r="Q102" s="1">
        <f>P102*(1+Q40)</f>
        <v>-3111.3434398690338</v>
      </c>
      <c r="R102" s="1">
        <f>Q102*(1+R40)</f>
        <v>-2100.0139246836879</v>
      </c>
      <c r="S102" s="1">
        <f t="shared" ref="S102:W102" si="145">R102*(1+S40)</f>
        <v>-2170.95066482128</v>
      </c>
      <c r="T102" s="1">
        <f t="shared" si="145"/>
        <v>-2310.9660115714551</v>
      </c>
      <c r="U102" s="1">
        <f t="shared" si="145"/>
        <v>-2493.286169586449</v>
      </c>
      <c r="V102" s="1">
        <f t="shared" si="145"/>
        <v>-2706.2048377276983</v>
      </c>
      <c r="W102" s="1">
        <f t="shared" si="145"/>
        <v>-2923.2274985357026</v>
      </c>
    </row>
    <row r="103" spans="1:26" x14ac:dyDescent="0.2">
      <c r="A103" s="1" t="s">
        <v>85</v>
      </c>
      <c r="K103" s="1">
        <v>380</v>
      </c>
      <c r="L103" s="1">
        <v>214</v>
      </c>
      <c r="M103" s="1">
        <v>1023</v>
      </c>
      <c r="N103" s="1">
        <v>400</v>
      </c>
      <c r="O103" s="1">
        <f>N103*(1+O40)</f>
        <v>430.41576880928358</v>
      </c>
      <c r="P103" s="1">
        <f>O103*(1+P40)</f>
        <v>464.20249459543817</v>
      </c>
      <c r="Q103" s="1">
        <f>P103*(1+Q40)</f>
        <v>497.91202491146737</v>
      </c>
      <c r="R103" s="1">
        <f>Q103*(1+R40)</f>
        <v>336.06774880035306</v>
      </c>
      <c r="S103" s="1">
        <f t="shared" ref="S103:W103" si="146">R103*(1+S40)</f>
        <v>347.41984046272955</v>
      </c>
      <c r="T103" s="1">
        <f t="shared" si="146"/>
        <v>369.82666444934654</v>
      </c>
      <c r="U103" s="1">
        <f t="shared" si="146"/>
        <v>399.00357815683668</v>
      </c>
      <c r="V103" s="1">
        <f t="shared" si="146"/>
        <v>433.07720816411245</v>
      </c>
      <c r="W103" s="1">
        <f t="shared" si="146"/>
        <v>467.80760504345426</v>
      </c>
      <c r="Y103" s="1" t="s">
        <v>36</v>
      </c>
      <c r="Z103" s="8">
        <v>0.04</v>
      </c>
    </row>
    <row r="104" spans="1:26" x14ac:dyDescent="0.2">
      <c r="A104" s="1" t="s">
        <v>103</v>
      </c>
      <c r="K104" s="1">
        <v>-545</v>
      </c>
      <c r="L104" s="1">
        <v>456</v>
      </c>
      <c r="M104" s="1">
        <v>-49</v>
      </c>
      <c r="N104" s="1">
        <f>M104*(1+N40)</f>
        <v>-52.6100158957736</v>
      </c>
      <c r="O104" s="1">
        <f>N104*(1+O40)</f>
        <v>-56.610451097120063</v>
      </c>
      <c r="P104" s="1">
        <f>O104*(1+P40)</f>
        <v>-61.054251548809404</v>
      </c>
      <c r="Q104" s="1">
        <f>P104*(1+Q40)</f>
        <v>-65.487898863222796</v>
      </c>
      <c r="R104" s="1">
        <f>Q104*(1+R40)</f>
        <v>-44.201324016108558</v>
      </c>
      <c r="S104" s="1">
        <f t="shared" ref="S104:W104" si="147">R104*(1+S40)</f>
        <v>-45.694408323128322</v>
      </c>
      <c r="T104" s="1">
        <f t="shared" si="147"/>
        <v>-48.64146673840262</v>
      </c>
      <c r="U104" s="1">
        <f t="shared" si="147"/>
        <v>-52.478961473254294</v>
      </c>
      <c r="V104" s="1">
        <f t="shared" si="147"/>
        <v>-56.960497014028007</v>
      </c>
      <c r="W104" s="1">
        <f t="shared" si="147"/>
        <v>-61.528413843749746</v>
      </c>
      <c r="Y104" s="1" t="s">
        <v>37</v>
      </c>
      <c r="Z104" s="8">
        <v>-0.01</v>
      </c>
    </row>
    <row r="105" spans="1:26" x14ac:dyDescent="0.2">
      <c r="A105" s="1" t="s">
        <v>49</v>
      </c>
      <c r="K105" s="1">
        <v>-1473</v>
      </c>
      <c r="L105" s="1">
        <v>-2314</v>
      </c>
      <c r="M105" s="1">
        <v>-1416</v>
      </c>
      <c r="N105" s="1">
        <f>M105*(1+N40)</f>
        <v>-1520.3220920084777</v>
      </c>
      <c r="O105" s="1">
        <f>N105*(1+O40)</f>
        <v>-1635.9265051739185</v>
      </c>
      <c r="P105" s="1">
        <f>O105*(1+P40)</f>
        <v>-1764.3432692472268</v>
      </c>
      <c r="Q105" s="1">
        <f>P105*(1+Q40)</f>
        <v>-1892.4666283739487</v>
      </c>
      <c r="R105" s="1">
        <f>Q105*(1+R40)</f>
        <v>-1277.328057281831</v>
      </c>
      <c r="S105" s="1">
        <f t="shared" ref="S105:W105" si="148">R105*(1+S40)</f>
        <v>-1320.4751466438715</v>
      </c>
      <c r="T105" s="1">
        <f t="shared" si="148"/>
        <v>-1405.6391204403697</v>
      </c>
      <c r="U105" s="1">
        <f t="shared" si="148"/>
        <v>-1516.5348866556751</v>
      </c>
      <c r="V105" s="1">
        <f t="shared" si="148"/>
        <v>-1646.042117793136</v>
      </c>
      <c r="W105" s="1">
        <f t="shared" si="148"/>
        <v>-1778.0455918928499</v>
      </c>
      <c r="Y105" s="1" t="s">
        <v>38</v>
      </c>
      <c r="Z105" s="8">
        <v>8.5000000000000006E-2</v>
      </c>
    </row>
    <row r="106" spans="1:26" s="4" customFormat="1" ht="15" x14ac:dyDescent="0.25">
      <c r="A106" s="4" t="s">
        <v>23</v>
      </c>
      <c r="K106" s="4">
        <f>SUM(K92:K105,K90)</f>
        <v>20933</v>
      </c>
      <c r="L106" s="4">
        <f t="shared" ref="L106:M106" si="149">SUM(L92:L105,L90)</f>
        <v>14071</v>
      </c>
      <c r="M106" s="4">
        <f t="shared" si="149"/>
        <v>21753</v>
      </c>
      <c r="N106" s="4">
        <f t="shared" ref="N106" si="150">SUM(N92:N105,N90)</f>
        <v>28007.542947471578</v>
      </c>
      <c r="O106" s="4">
        <f t="shared" ref="O106" si="151">SUM(O92:O105,O90)</f>
        <v>29504.744984968675</v>
      </c>
      <c r="P106" s="4">
        <f t="shared" ref="P106" si="152">SUM(P92:P105,P90)</f>
        <v>31219.1156651159</v>
      </c>
      <c r="Q106" s="4">
        <f t="shared" ref="Q106" si="153">SUM(Q92:Q105,Q90)</f>
        <v>34375.945845752976</v>
      </c>
      <c r="R106" s="4">
        <f t="shared" ref="R106:W106" si="154">SUM(R92:R105,R90)</f>
        <v>24917.380952423195</v>
      </c>
      <c r="S106" s="4">
        <f t="shared" si="154"/>
        <v>26431.781254700851</v>
      </c>
      <c r="T106" s="4">
        <f t="shared" si="154"/>
        <v>28715.196508239023</v>
      </c>
      <c r="U106" s="4">
        <f t="shared" si="154"/>
        <v>31512.229954178256</v>
      </c>
      <c r="V106" s="4">
        <f t="shared" si="154"/>
        <v>34716.835781090049</v>
      </c>
      <c r="W106" s="4">
        <f t="shared" si="154"/>
        <v>38066.807274824561</v>
      </c>
      <c r="Y106" s="4" t="s">
        <v>39</v>
      </c>
      <c r="Z106" s="4">
        <f>NPV(Z105,N113:DK113)+Sheet1!E5-Sheet1!E6</f>
        <v>275692.31685883069</v>
      </c>
    </row>
    <row r="107" spans="1:26" s="4" customFormat="1" ht="15" x14ac:dyDescent="0.25">
      <c r="A107" s="4" t="s">
        <v>104</v>
      </c>
      <c r="K107" s="4">
        <v>-4388</v>
      </c>
      <c r="L107" s="4">
        <v>-3863</v>
      </c>
      <c r="M107" s="4">
        <v>-3372</v>
      </c>
      <c r="N107" s="4">
        <f>M107*1.08</f>
        <v>-3641.76</v>
      </c>
      <c r="O107" s="4">
        <f t="shared" ref="O107:Q107" si="155">N107*1.08</f>
        <v>-3933.1008000000006</v>
      </c>
      <c r="P107" s="4">
        <f t="shared" si="155"/>
        <v>-4247.748864000001</v>
      </c>
      <c r="Q107" s="4">
        <f t="shared" si="155"/>
        <v>-4587.5687731200014</v>
      </c>
      <c r="R107" s="4">
        <f t="shared" ref="R107" si="156">Q107*1.08</f>
        <v>-4954.5742749696019</v>
      </c>
      <c r="S107" s="4">
        <f t="shared" ref="S107" si="157">R107*1.08</f>
        <v>-5350.9402169671703</v>
      </c>
      <c r="T107" s="4">
        <f t="shared" ref="T107" si="158">S107*1.08</f>
        <v>-5779.015434324544</v>
      </c>
      <c r="U107" s="4">
        <f t="shared" ref="U107" si="159">T107*1.08</f>
        <v>-6241.3366690705079</v>
      </c>
      <c r="V107" s="4">
        <f t="shared" ref="V107" si="160">U107*1.08</f>
        <v>-6740.6436025961493</v>
      </c>
      <c r="W107" s="4">
        <f t="shared" ref="W107" si="161">V107*1.08</f>
        <v>-7279.8950908038414</v>
      </c>
      <c r="Y107" s="1" t="s">
        <v>1</v>
      </c>
      <c r="Z107" s="5">
        <f>Z106/Sheet1!E3</f>
        <v>109.79247841178811</v>
      </c>
    </row>
    <row r="108" spans="1:26" x14ac:dyDescent="0.2">
      <c r="A108" s="1" t="s">
        <v>105</v>
      </c>
      <c r="K108" s="1">
        <v>-1204</v>
      </c>
      <c r="L108" s="1">
        <v>-955</v>
      </c>
      <c r="M108" s="1">
        <v>-519</v>
      </c>
      <c r="N108" s="1">
        <f>M108*(1+N40)</f>
        <v>-557.23669897768366</v>
      </c>
      <c r="O108" s="1">
        <f>N108*(1+O40)</f>
        <v>-599.60865549806761</v>
      </c>
      <c r="P108" s="1">
        <f>O108*(1+P40)</f>
        <v>-646.67666436392005</v>
      </c>
      <c r="Q108" s="1">
        <f>P108*(1+Q40)</f>
        <v>-693.63713285740073</v>
      </c>
      <c r="R108" s="1">
        <f>Q108*(1+R40)</f>
        <v>-468.17320743592541</v>
      </c>
      <c r="S108" s="1">
        <f t="shared" ref="S108:W108" si="162">R108*(1+S40)</f>
        <v>-483.9877126470123</v>
      </c>
      <c r="T108" s="1">
        <f t="shared" si="162"/>
        <v>-515.2024742292034</v>
      </c>
      <c r="U108" s="1">
        <f t="shared" si="162"/>
        <v>-555.84859193099976</v>
      </c>
      <c r="V108" s="1">
        <f t="shared" si="162"/>
        <v>-603.31628469960299</v>
      </c>
      <c r="W108" s="1">
        <f t="shared" si="162"/>
        <v>-651.69891397767617</v>
      </c>
      <c r="Y108" s="1" t="s">
        <v>40</v>
      </c>
      <c r="Z108" s="3">
        <f>Z107/Sheet1!E2-1</f>
        <v>0.43895777734977859</v>
      </c>
    </row>
    <row r="109" spans="1:26" x14ac:dyDescent="0.2">
      <c r="A109" s="1" t="s">
        <v>106</v>
      </c>
      <c r="K109" s="1">
        <v>721</v>
      </c>
      <c r="L109" s="1">
        <f>1658+1145</f>
        <v>2803</v>
      </c>
      <c r="M109" s="1">
        <v>377</v>
      </c>
      <c r="N109" s="1">
        <f>M109*(1+N40)</f>
        <v>404.77502025931932</v>
      </c>
      <c r="O109" s="1">
        <f>N109*(1+O40)</f>
        <v>435.55387884927069</v>
      </c>
      <c r="P109" s="1">
        <f>O109*(1+P40)</f>
        <v>469.7439353857377</v>
      </c>
      <c r="Q109" s="1">
        <f>P109*(1+Q40)</f>
        <v>503.85587492724483</v>
      </c>
      <c r="R109" s="1">
        <f>Q109*(1+R40)</f>
        <v>340.0795745729169</v>
      </c>
      <c r="S109" s="1">
        <f t="shared" ref="S109:W109" si="163">R109*(1+S40)</f>
        <v>351.56718240447714</v>
      </c>
      <c r="T109" s="1">
        <f t="shared" si="163"/>
        <v>374.24148898730186</v>
      </c>
      <c r="U109" s="1">
        <f t="shared" si="163"/>
        <v>403.76670357993618</v>
      </c>
      <c r="V109" s="1">
        <f t="shared" si="163"/>
        <v>438.24708927119519</v>
      </c>
      <c r="W109" s="1">
        <f t="shared" si="163"/>
        <v>473.39208202231964</v>
      </c>
    </row>
    <row r="110" spans="1:26" x14ac:dyDescent="0.2">
      <c r="A110" s="1" t="s">
        <v>107</v>
      </c>
      <c r="K110" s="1">
        <v>0</v>
      </c>
      <c r="L110" s="1">
        <f>-10705-1327</f>
        <v>-12032</v>
      </c>
      <c r="M110" s="1">
        <f>-1344-1303-746-700</f>
        <v>-4093</v>
      </c>
      <c r="N110" s="1">
        <f>M110*(1+N40)</f>
        <v>-4394.5468379877821</v>
      </c>
      <c r="O110" s="1">
        <f>N110*(1+O40)</f>
        <v>-4728.7056396022936</v>
      </c>
      <c r="P110" s="1">
        <f>O110*(1+P40)</f>
        <v>-5099.8990120260587</v>
      </c>
      <c r="Q110" s="1">
        <f>P110*(1+Q40)</f>
        <v>-5470.244286676957</v>
      </c>
      <c r="R110" s="1">
        <f>Q110*(1+R40)</f>
        <v>-3692.1636571006597</v>
      </c>
      <c r="S110" s="1">
        <f t="shared" ref="S110:W110" si="164">R110*(1+S40)</f>
        <v>-3816.88190339927</v>
      </c>
      <c r="T110" s="1">
        <f t="shared" si="164"/>
        <v>-4063.0514971486109</v>
      </c>
      <c r="U110" s="1">
        <f t="shared" si="164"/>
        <v>-4383.5997818373435</v>
      </c>
      <c r="V110" s="1">
        <f t="shared" si="164"/>
        <v>-4757.9451893554415</v>
      </c>
      <c r="W110" s="1">
        <f t="shared" si="164"/>
        <v>-5139.5060788258716</v>
      </c>
    </row>
    <row r="111" spans="1:26" x14ac:dyDescent="0.2">
      <c r="A111" s="1" t="s">
        <v>49</v>
      </c>
      <c r="K111" s="1">
        <v>-89</v>
      </c>
      <c r="L111" s="1">
        <v>-36</v>
      </c>
      <c r="M111" s="1">
        <v>-127</v>
      </c>
      <c r="N111" s="1">
        <f>M111*(1+N40)</f>
        <v>-136.35657181149483</v>
      </c>
      <c r="O111" s="1">
        <f>N111*(1+O40)</f>
        <v>-146.72504672110711</v>
      </c>
      <c r="P111" s="1">
        <f>O111*(1+P40)</f>
        <v>-158.24265197344479</v>
      </c>
      <c r="Q111" s="1">
        <f>P111*(1+Q40)</f>
        <v>-169.73394195161828</v>
      </c>
      <c r="R111" s="1">
        <f>Q111*(1+R40)</f>
        <v>-114.56261530705689</v>
      </c>
      <c r="S111" s="1">
        <f t="shared" ref="S111:W111" si="165">R111*(1+S40)</f>
        <v>-118.43244606198566</v>
      </c>
      <c r="T111" s="1">
        <f t="shared" si="165"/>
        <v>-126.07074032198231</v>
      </c>
      <c r="U111" s="1">
        <f t="shared" si="165"/>
        <v>-136.01690014496523</v>
      </c>
      <c r="V111" s="1">
        <f t="shared" si="165"/>
        <v>-147.63230858737873</v>
      </c>
      <c r="W111" s="1">
        <f t="shared" si="165"/>
        <v>-159.47160322767795</v>
      </c>
    </row>
    <row r="112" spans="1:26" x14ac:dyDescent="0.2">
      <c r="A112" s="1" t="s">
        <v>108</v>
      </c>
      <c r="K112" s="1">
        <f>SUM(K107:K111)</f>
        <v>-4960</v>
      </c>
      <c r="L112" s="1">
        <f t="shared" ref="L112:M112" si="166">SUM(L107:L111)</f>
        <v>-14083</v>
      </c>
      <c r="M112" s="1">
        <f t="shared" si="166"/>
        <v>-7734</v>
      </c>
      <c r="N112" s="1">
        <f t="shared" ref="N112" si="167">SUM(N107:N111)</f>
        <v>-8325.1250885176414</v>
      </c>
      <c r="O112" s="1">
        <f t="shared" ref="O112" si="168">SUM(O107:O111)</f>
        <v>-8972.5862629721978</v>
      </c>
      <c r="P112" s="1">
        <f t="shared" ref="P112" si="169">SUM(P107:P111)</f>
        <v>-9682.8232569776865</v>
      </c>
      <c r="Q112" s="1">
        <f t="shared" ref="Q112" si="170">SUM(Q107:Q111)</f>
        <v>-10417.328259678732</v>
      </c>
      <c r="R112" s="1">
        <f t="shared" ref="R112:W112" si="171">SUM(R107:R111)</f>
        <v>-8889.3941802403278</v>
      </c>
      <c r="S112" s="1">
        <f t="shared" si="171"/>
        <v>-9418.6750966709606</v>
      </c>
      <c r="T112" s="1">
        <f t="shared" si="171"/>
        <v>-10109.098657037039</v>
      </c>
      <c r="U112" s="1">
        <f t="shared" si="171"/>
        <v>-10913.03523940388</v>
      </c>
      <c r="V112" s="1">
        <f t="shared" si="171"/>
        <v>-11811.290295967377</v>
      </c>
      <c r="W112" s="1">
        <f t="shared" si="171"/>
        <v>-12757.179604812747</v>
      </c>
    </row>
    <row r="113" spans="1:115" s="4" customFormat="1" ht="15" x14ac:dyDescent="0.25">
      <c r="A113" s="4" t="s">
        <v>24</v>
      </c>
      <c r="K113" s="4">
        <f>K106+K107</f>
        <v>16545</v>
      </c>
      <c r="L113" s="4">
        <f t="shared" ref="L113:R113" si="172">L106+L107</f>
        <v>10208</v>
      </c>
      <c r="M113" s="4">
        <f t="shared" si="172"/>
        <v>18381</v>
      </c>
      <c r="N113" s="4">
        <f t="shared" si="172"/>
        <v>24365.782947471576</v>
      </c>
      <c r="O113" s="4">
        <f t="shared" si="172"/>
        <v>25571.644184968674</v>
      </c>
      <c r="P113" s="4">
        <f t="shared" si="172"/>
        <v>26971.366801115899</v>
      </c>
      <c r="Q113" s="4">
        <f t="shared" si="172"/>
        <v>29788.377072632975</v>
      </c>
      <c r="R113" s="4">
        <f t="shared" si="172"/>
        <v>19962.806677453591</v>
      </c>
      <c r="S113" s="4">
        <f t="shared" ref="S113:W113" si="173">S106+S107</f>
        <v>21080.84103773368</v>
      </c>
      <c r="T113" s="4">
        <f t="shared" si="173"/>
        <v>22936.181073914478</v>
      </c>
      <c r="U113" s="4">
        <f t="shared" si="173"/>
        <v>25270.893285107748</v>
      </c>
      <c r="V113" s="4">
        <f t="shared" si="173"/>
        <v>27976.1921784939</v>
      </c>
      <c r="W113" s="4">
        <f t="shared" si="173"/>
        <v>30786.912184020719</v>
      </c>
      <c r="X113" s="4">
        <f t="shared" ref="X113:BC113" si="174">W113*(1+$Z$104)</f>
        <v>30479.04306218051</v>
      </c>
      <c r="Y113" s="4">
        <f t="shared" si="174"/>
        <v>30174.252631558706</v>
      </c>
      <c r="Z113" s="4">
        <f t="shared" si="174"/>
        <v>29872.51010524312</v>
      </c>
      <c r="AA113" s="4">
        <f t="shared" si="174"/>
        <v>29573.78500419069</v>
      </c>
      <c r="AB113" s="4">
        <f t="shared" si="174"/>
        <v>29278.047154148782</v>
      </c>
      <c r="AC113" s="4">
        <f t="shared" si="174"/>
        <v>28985.266682607293</v>
      </c>
      <c r="AD113" s="4">
        <f t="shared" si="174"/>
        <v>28695.414015781218</v>
      </c>
      <c r="AE113" s="4">
        <f t="shared" si="174"/>
        <v>28408.459875623405</v>
      </c>
      <c r="AF113" s="4">
        <f t="shared" si="174"/>
        <v>28124.375276867169</v>
      </c>
      <c r="AG113" s="4">
        <f t="shared" si="174"/>
        <v>27843.131524098499</v>
      </c>
      <c r="AH113" s="4">
        <f t="shared" si="174"/>
        <v>27564.700208857514</v>
      </c>
      <c r="AI113" s="4">
        <f t="shared" si="174"/>
        <v>27289.053206768938</v>
      </c>
      <c r="AJ113" s="4">
        <f t="shared" si="174"/>
        <v>27016.162674701249</v>
      </c>
      <c r="AK113" s="4">
        <f t="shared" si="174"/>
        <v>26746.001047954236</v>
      </c>
      <c r="AL113" s="4">
        <f t="shared" si="174"/>
        <v>26478.541037474693</v>
      </c>
      <c r="AM113" s="4">
        <f t="shared" si="174"/>
        <v>26213.755627099945</v>
      </c>
      <c r="AN113" s="4">
        <f t="shared" si="174"/>
        <v>25951.618070828947</v>
      </c>
      <c r="AO113" s="4">
        <f t="shared" si="174"/>
        <v>25692.101890120655</v>
      </c>
      <c r="AP113" s="4">
        <f t="shared" si="174"/>
        <v>25435.180871219447</v>
      </c>
      <c r="AQ113" s="4">
        <f t="shared" si="174"/>
        <v>25180.829062507251</v>
      </c>
      <c r="AR113" s="4">
        <f t="shared" si="174"/>
        <v>24929.02077188218</v>
      </c>
      <c r="AS113" s="4">
        <f t="shared" si="174"/>
        <v>24679.730564163357</v>
      </c>
      <c r="AT113" s="4">
        <f t="shared" si="174"/>
        <v>24432.933258521723</v>
      </c>
      <c r="AU113" s="4">
        <f t="shared" si="174"/>
        <v>24188.603925936506</v>
      </c>
      <c r="AV113" s="4">
        <f t="shared" si="174"/>
        <v>23946.717886677139</v>
      </c>
      <c r="AW113" s="4">
        <f t="shared" si="174"/>
        <v>23707.250707810366</v>
      </c>
      <c r="AX113" s="4">
        <f t="shared" si="174"/>
        <v>23470.178200732262</v>
      </c>
      <c r="AY113" s="4">
        <f t="shared" si="174"/>
        <v>23235.476418724938</v>
      </c>
      <c r="AZ113" s="4">
        <f t="shared" si="174"/>
        <v>23003.121654537688</v>
      </c>
      <c r="BA113" s="4">
        <f t="shared" si="174"/>
        <v>22773.090437992312</v>
      </c>
      <c r="BB113" s="4">
        <f t="shared" si="174"/>
        <v>22545.359533612387</v>
      </c>
      <c r="BC113" s="4">
        <f t="shared" si="174"/>
        <v>22319.905938276264</v>
      </c>
      <c r="BD113" s="4">
        <f t="shared" ref="BD113:CI113" si="175">BC113*(1+$Z$104)</f>
        <v>22096.706878893503</v>
      </c>
      <c r="BE113" s="4">
        <f t="shared" si="175"/>
        <v>21875.739810104569</v>
      </c>
      <c r="BF113" s="4">
        <f t="shared" si="175"/>
        <v>21656.982412003523</v>
      </c>
      <c r="BG113" s="4">
        <f t="shared" si="175"/>
        <v>21440.412587883486</v>
      </c>
      <c r="BH113" s="4">
        <f t="shared" si="175"/>
        <v>21226.008462004651</v>
      </c>
      <c r="BI113" s="4">
        <f t="shared" si="175"/>
        <v>21013.748377384603</v>
      </c>
      <c r="BJ113" s="4">
        <f t="shared" si="175"/>
        <v>20803.610893610756</v>
      </c>
      <c r="BK113" s="4">
        <f t="shared" si="175"/>
        <v>20595.574784674649</v>
      </c>
      <c r="BL113" s="4">
        <f t="shared" si="175"/>
        <v>20389.619036827902</v>
      </c>
      <c r="BM113" s="4">
        <f t="shared" si="175"/>
        <v>20185.722846459623</v>
      </c>
      <c r="BN113" s="4">
        <f t="shared" si="175"/>
        <v>19983.865617995027</v>
      </c>
      <c r="BO113" s="4">
        <f t="shared" si="175"/>
        <v>19784.026961815078</v>
      </c>
      <c r="BP113" s="4">
        <f t="shared" si="175"/>
        <v>19586.186692196927</v>
      </c>
      <c r="BQ113" s="4">
        <f t="shared" si="175"/>
        <v>19390.324825274958</v>
      </c>
      <c r="BR113" s="4">
        <f t="shared" si="175"/>
        <v>19196.421577022207</v>
      </c>
      <c r="BS113" s="4">
        <f t="shared" si="175"/>
        <v>19004.457361251985</v>
      </c>
      <c r="BT113" s="4">
        <f t="shared" si="175"/>
        <v>18814.412787639467</v>
      </c>
      <c r="BU113" s="4">
        <f t="shared" si="175"/>
        <v>18626.268659763071</v>
      </c>
      <c r="BV113" s="4">
        <f t="shared" si="175"/>
        <v>18440.00597316544</v>
      </c>
      <c r="BW113" s="4">
        <f t="shared" si="175"/>
        <v>18255.605913433785</v>
      </c>
      <c r="BX113" s="4">
        <f t="shared" si="175"/>
        <v>18073.049854299446</v>
      </c>
      <c r="BY113" s="4">
        <f t="shared" si="175"/>
        <v>17892.319355756452</v>
      </c>
      <c r="BZ113" s="4">
        <f t="shared" si="175"/>
        <v>17713.396162198886</v>
      </c>
      <c r="CA113" s="4">
        <f t="shared" si="175"/>
        <v>17536.262200576897</v>
      </c>
      <c r="CB113" s="4">
        <f t="shared" si="175"/>
        <v>17360.899578571127</v>
      </c>
      <c r="CC113" s="4">
        <f t="shared" si="175"/>
        <v>17187.290582785416</v>
      </c>
      <c r="CD113" s="4">
        <f t="shared" si="175"/>
        <v>17015.417676957561</v>
      </c>
      <c r="CE113" s="4">
        <f t="shared" si="175"/>
        <v>16845.263500187986</v>
      </c>
      <c r="CF113" s="4">
        <f t="shared" si="175"/>
        <v>16676.810865186108</v>
      </c>
      <c r="CG113" s="4">
        <f t="shared" si="175"/>
        <v>16510.042756534247</v>
      </c>
      <c r="CH113" s="4">
        <f t="shared" si="175"/>
        <v>16344.942328968904</v>
      </c>
      <c r="CI113" s="4">
        <f t="shared" si="175"/>
        <v>16181.492905679215</v>
      </c>
      <c r="CJ113" s="4">
        <f t="shared" ref="CJ113:DK113" si="176">CI113*(1+$Z$104)</f>
        <v>16019.677976622423</v>
      </c>
      <c r="CK113" s="4">
        <f t="shared" si="176"/>
        <v>15859.481196856199</v>
      </c>
      <c r="CL113" s="4">
        <f t="shared" si="176"/>
        <v>15700.886384887637</v>
      </c>
      <c r="CM113" s="4">
        <f t="shared" si="176"/>
        <v>15543.877521038761</v>
      </c>
      <c r="CN113" s="4">
        <f t="shared" si="176"/>
        <v>15388.438745828373</v>
      </c>
      <c r="CO113" s="4">
        <f t="shared" si="176"/>
        <v>15234.554358370089</v>
      </c>
      <c r="CP113" s="4">
        <f t="shared" si="176"/>
        <v>15082.208814786389</v>
      </c>
      <c r="CQ113" s="4">
        <f t="shared" si="176"/>
        <v>14931.386726638524</v>
      </c>
      <c r="CR113" s="4">
        <f t="shared" si="176"/>
        <v>14782.07285937214</v>
      </c>
      <c r="CS113" s="4">
        <f t="shared" si="176"/>
        <v>14634.252130778417</v>
      </c>
      <c r="CT113" s="4">
        <f t="shared" si="176"/>
        <v>14487.909609470633</v>
      </c>
      <c r="CU113" s="4">
        <f t="shared" si="176"/>
        <v>14343.030513375927</v>
      </c>
      <c r="CV113" s="4">
        <f t="shared" si="176"/>
        <v>14199.600208242167</v>
      </c>
      <c r="CW113" s="4">
        <f t="shared" si="176"/>
        <v>14057.604206159745</v>
      </c>
      <c r="CX113" s="4">
        <f t="shared" si="176"/>
        <v>13917.028164098148</v>
      </c>
      <c r="CY113" s="4">
        <f t="shared" si="176"/>
        <v>13777.857882457167</v>
      </c>
      <c r="CZ113" s="4">
        <f t="shared" si="176"/>
        <v>13640.079303632596</v>
      </c>
      <c r="DA113" s="4">
        <f t="shared" si="176"/>
        <v>13503.67851059627</v>
      </c>
      <c r="DB113" s="4">
        <f t="shared" si="176"/>
        <v>13368.641725490306</v>
      </c>
      <c r="DC113" s="4">
        <f t="shared" si="176"/>
        <v>13234.955308235403</v>
      </c>
      <c r="DD113" s="4">
        <f t="shared" si="176"/>
        <v>13102.605755153048</v>
      </c>
      <c r="DE113" s="4">
        <f t="shared" si="176"/>
        <v>12971.579697601517</v>
      </c>
      <c r="DF113" s="4">
        <f t="shared" si="176"/>
        <v>12841.863900625502</v>
      </c>
      <c r="DG113" s="4">
        <f t="shared" si="176"/>
        <v>12713.445261619247</v>
      </c>
      <c r="DH113" s="4">
        <f t="shared" si="176"/>
        <v>12586.310809003055</v>
      </c>
      <c r="DI113" s="4">
        <f t="shared" si="176"/>
        <v>12460.447700913024</v>
      </c>
      <c r="DJ113" s="4">
        <f t="shared" si="176"/>
        <v>12335.843223903894</v>
      </c>
      <c r="DK113" s="4">
        <f t="shared" si="176"/>
        <v>12212.484791664854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2025-05-05T01:00:41Z</dcterms:created>
  <dcterms:modified xsi:type="dcterms:W3CDTF">2025-05-31T06:47:23Z</dcterms:modified>
</cp:coreProperties>
</file>