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0957F52-0730-46D9-82CC-56FE94CCB052}" xr6:coauthVersionLast="47" xr6:coauthVersionMax="47" xr10:uidLastSave="{00000000-0000-0000-0000-000000000000}"/>
  <bookViews>
    <workbookView xWindow="960" yWindow="630" windowWidth="19425" windowHeight="14595" activeTab="1" xr2:uid="{1048AAC9-095E-4978-9899-EC26626F8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U2" i="2" s="1"/>
  <c r="V2" i="2" s="1"/>
  <c r="W2" i="2" s="1"/>
  <c r="S2" i="2"/>
  <c r="R2" i="2"/>
  <c r="Q2" i="2"/>
  <c r="P2" i="2"/>
  <c r="O2" i="2"/>
  <c r="N19" i="2"/>
  <c r="M19" i="2"/>
  <c r="D6" i="1"/>
  <c r="D5" i="1"/>
  <c r="D3" i="1"/>
  <c r="F33" i="2"/>
  <c r="F12" i="2"/>
  <c r="F14" i="2" s="1"/>
  <c r="G8" i="2"/>
  <c r="H8" i="2"/>
  <c r="I8" i="2"/>
  <c r="F8" i="2"/>
  <c r="G4" i="2"/>
  <c r="G21" i="2" s="1"/>
  <c r="H2" i="2"/>
  <c r="I2" i="2" s="1"/>
  <c r="G19" i="2"/>
  <c r="F19" i="2"/>
  <c r="H18" i="2"/>
  <c r="G18" i="2"/>
  <c r="G20" i="2"/>
  <c r="M37" i="2"/>
  <c r="M35" i="2"/>
  <c r="N11" i="2"/>
  <c r="O11" i="2" s="1"/>
  <c r="P11" i="2" s="1"/>
  <c r="Q11" i="2" s="1"/>
  <c r="R11" i="2" s="1"/>
  <c r="S11" i="2" s="1"/>
  <c r="T11" i="2" s="1"/>
  <c r="U11" i="2" s="1"/>
  <c r="V11" i="2" s="1"/>
  <c r="W11" i="2" s="1"/>
  <c r="L30" i="2"/>
  <c r="L26" i="2" s="1"/>
  <c r="M30" i="2"/>
  <c r="M26" i="2" s="1"/>
  <c r="K30" i="2"/>
  <c r="K26" i="2" s="1"/>
  <c r="L8" i="2"/>
  <c r="L22" i="2" s="1"/>
  <c r="M8" i="2"/>
  <c r="M22" i="2" s="1"/>
  <c r="K8" i="2"/>
  <c r="K22" i="2" s="1"/>
  <c r="L18" i="2"/>
  <c r="M18" i="2"/>
  <c r="L4" i="2"/>
  <c r="L21" i="2" s="1"/>
  <c r="M4" i="2"/>
  <c r="M21" i="2" s="1"/>
  <c r="N21" i="2" s="1"/>
  <c r="O21" i="2" s="1"/>
  <c r="P21" i="2" s="1"/>
  <c r="Q21" i="2" s="1"/>
  <c r="R21" i="2" s="1"/>
  <c r="K4" i="2"/>
  <c r="K21" i="2" s="1"/>
  <c r="F4" i="2"/>
  <c r="F21" i="2" s="1"/>
  <c r="B4" i="2"/>
  <c r="B21" i="2" s="1"/>
  <c r="C4" i="2"/>
  <c r="C21" i="2" s="1"/>
  <c r="D4" i="2"/>
  <c r="D21" i="2" s="1"/>
  <c r="E4" i="2"/>
  <c r="E21" i="2" s="1"/>
  <c r="F18" i="2"/>
  <c r="E20" i="2"/>
  <c r="F20" i="2"/>
  <c r="B20" i="2"/>
  <c r="B24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D4" i="1"/>
  <c r="D7" i="1" s="1"/>
  <c r="N8" i="2" l="1"/>
  <c r="H19" i="2"/>
  <c r="H4" i="2"/>
  <c r="H9" i="2" s="1"/>
  <c r="H12" i="2" s="1"/>
  <c r="H13" i="2"/>
  <c r="H14" i="2" s="1"/>
  <c r="I19" i="2"/>
  <c r="I18" i="2"/>
  <c r="N2" i="2"/>
  <c r="I4" i="2"/>
  <c r="I9" i="2" s="1"/>
  <c r="I12" i="2" s="1"/>
  <c r="G9" i="2"/>
  <c r="G12" i="2" s="1"/>
  <c r="M33" i="2"/>
  <c r="N10" i="2" s="1"/>
  <c r="K9" i="2"/>
  <c r="M9" i="2"/>
  <c r="L9" i="2"/>
  <c r="O8" i="2" l="1"/>
  <c r="N22" i="2"/>
  <c r="G13" i="2"/>
  <c r="G14" i="2" s="1"/>
  <c r="N26" i="2"/>
  <c r="O26" i="2" s="1"/>
  <c r="N18" i="2"/>
  <c r="I13" i="2"/>
  <c r="I14" i="2" s="1"/>
  <c r="L12" i="2"/>
  <c r="L20" i="2"/>
  <c r="L24" i="2" s="1"/>
  <c r="M12" i="2"/>
  <c r="M20" i="2"/>
  <c r="M24" i="2" s="1"/>
  <c r="K12" i="2"/>
  <c r="K20" i="2"/>
  <c r="K24" i="2" s="1"/>
  <c r="P8" i="2" l="1"/>
  <c r="O22" i="2"/>
  <c r="N7" i="2"/>
  <c r="N5" i="2"/>
  <c r="N6" i="2"/>
  <c r="O18" i="2"/>
  <c r="O19" i="2" s="1"/>
  <c r="P26" i="2"/>
  <c r="O30" i="2"/>
  <c r="K14" i="2"/>
  <c r="K25" i="2"/>
  <c r="M14" i="2"/>
  <c r="M25" i="2"/>
  <c r="L14" i="2"/>
  <c r="L25" i="2"/>
  <c r="N3" i="2"/>
  <c r="N4" i="2" s="1"/>
  <c r="N9" i="2" s="1"/>
  <c r="O3" i="2"/>
  <c r="O4" i="2" s="1"/>
  <c r="O9" i="2" s="1"/>
  <c r="O20" i="2" s="1"/>
  <c r="O24" i="2" l="1"/>
  <c r="Q8" i="2"/>
  <c r="P22" i="2"/>
  <c r="Q26" i="2"/>
  <c r="P30" i="2"/>
  <c r="O5" i="2"/>
  <c r="P18" i="2"/>
  <c r="P19" i="2" s="1"/>
  <c r="O6" i="2"/>
  <c r="O7" i="2"/>
  <c r="P7" i="2" s="1"/>
  <c r="N12" i="2"/>
  <c r="N13" i="2" s="1"/>
  <c r="N14" i="2" s="1"/>
  <c r="N20" i="2"/>
  <c r="N24" i="2" s="1"/>
  <c r="P3" i="2"/>
  <c r="P4" i="2" s="1"/>
  <c r="P9" i="2" s="1"/>
  <c r="P20" i="2" s="1"/>
  <c r="P24" i="2" s="1"/>
  <c r="P6" i="2" l="1"/>
  <c r="R8" i="2"/>
  <c r="Q22" i="2"/>
  <c r="Q18" i="2"/>
  <c r="P5" i="2"/>
  <c r="Q5" i="2" s="1"/>
  <c r="R26" i="2"/>
  <c r="Q30" i="2"/>
  <c r="N33" i="2"/>
  <c r="O10" i="2" s="1"/>
  <c r="O12" i="2" s="1"/>
  <c r="O13" i="2" s="1"/>
  <c r="O14" i="2" s="1"/>
  <c r="O33" i="2" s="1"/>
  <c r="R3" i="2"/>
  <c r="R4" i="2" s="1"/>
  <c r="Q3" i="2"/>
  <c r="Q4" i="2" s="1"/>
  <c r="Q9" i="2" s="1"/>
  <c r="Q20" i="2" s="1"/>
  <c r="Q24" i="2" s="1"/>
  <c r="Q7" i="2" l="1"/>
  <c r="Q19" i="2"/>
  <c r="S8" i="2"/>
  <c r="T8" i="2" s="1"/>
  <c r="U8" i="2" s="1"/>
  <c r="V8" i="2" s="1"/>
  <c r="W8" i="2" s="1"/>
  <c r="R22" i="2"/>
  <c r="S26" i="2"/>
  <c r="R30" i="2"/>
  <c r="R18" i="2"/>
  <c r="S22" i="2"/>
  <c r="Q6" i="2"/>
  <c r="R9" i="2"/>
  <c r="R20" i="2" s="1"/>
  <c r="R24" i="2" s="1"/>
  <c r="P10" i="2"/>
  <c r="P12" i="2" s="1"/>
  <c r="R6" i="2" l="1"/>
  <c r="R5" i="2"/>
  <c r="R19" i="2"/>
  <c r="T22" i="2"/>
  <c r="S18" i="2"/>
  <c r="S3" i="2"/>
  <c r="S4" i="2" s="1"/>
  <c r="S9" i="2" s="1"/>
  <c r="S20" i="2" s="1"/>
  <c r="T26" i="2"/>
  <c r="U26" i="2" s="1"/>
  <c r="S30" i="2"/>
  <c r="R7" i="2"/>
  <c r="S7" i="2" s="1"/>
  <c r="P13" i="2"/>
  <c r="P14" i="2" s="1"/>
  <c r="P33" i="2" s="1"/>
  <c r="S24" i="2" l="1"/>
  <c r="S5" i="2"/>
  <c r="S19" i="2"/>
  <c r="T30" i="2"/>
  <c r="U22" i="2"/>
  <c r="T18" i="2"/>
  <c r="T19" i="2" s="1"/>
  <c r="T3" i="2"/>
  <c r="T4" i="2" s="1"/>
  <c r="T9" i="2" s="1"/>
  <c r="S6" i="2"/>
  <c r="Q10" i="2"/>
  <c r="Q12" i="2" s="1"/>
  <c r="Q13" i="2" s="1"/>
  <c r="Q14" i="2" s="1"/>
  <c r="T6" i="2" l="1"/>
  <c r="T7" i="2"/>
  <c r="T5" i="2"/>
  <c r="V22" i="2"/>
  <c r="U18" i="2"/>
  <c r="U3" i="2"/>
  <c r="U4" i="2" s="1"/>
  <c r="U9" i="2" s="1"/>
  <c r="U20" i="2" s="1"/>
  <c r="U24" i="2" s="1"/>
  <c r="U30" i="2"/>
  <c r="T20" i="2"/>
  <c r="T24" i="2" s="1"/>
  <c r="Q33" i="2"/>
  <c r="U7" i="2" l="1"/>
  <c r="U19" i="2"/>
  <c r="V30" i="2"/>
  <c r="W22" i="2"/>
  <c r="V3" i="2"/>
  <c r="V4" i="2" s="1"/>
  <c r="V18" i="2"/>
  <c r="U5" i="2"/>
  <c r="U6" i="2"/>
  <c r="V9" i="2"/>
  <c r="V20" i="2" s="1"/>
  <c r="R10" i="2"/>
  <c r="R12" i="2" s="1"/>
  <c r="R13" i="2" s="1"/>
  <c r="R14" i="2" s="1"/>
  <c r="V7" i="2" l="1"/>
  <c r="V19" i="2"/>
  <c r="V24" i="2"/>
  <c r="V6" i="2"/>
  <c r="V5" i="2"/>
  <c r="W18" i="2"/>
  <c r="W3" i="2"/>
  <c r="W4" i="2" s="1"/>
  <c r="W30" i="2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R33" i="2"/>
  <c r="W7" i="2" l="1"/>
  <c r="W19" i="2"/>
  <c r="W5" i="2"/>
  <c r="W9" i="2" s="1"/>
  <c r="W20" i="2" s="1"/>
  <c r="W24" i="2" s="1"/>
  <c r="W6" i="2"/>
  <c r="S10" i="2"/>
  <c r="S12" i="2" s="1"/>
  <c r="S13" i="2" l="1"/>
  <c r="S14" i="2" s="1"/>
  <c r="S33" i="2" l="1"/>
  <c r="T10" i="2" s="1"/>
  <c r="T12" i="2" s="1"/>
  <c r="T13" i="2" s="1"/>
  <c r="T14" i="2" s="1"/>
  <c r="T33" i="2" l="1"/>
  <c r="U10" i="2" s="1"/>
  <c r="U12" i="2" s="1"/>
  <c r="U13" i="2" s="1"/>
  <c r="U14" i="2" s="1"/>
  <c r="U33" i="2" l="1"/>
  <c r="V10" i="2" s="1"/>
  <c r="V12" i="2" s="1"/>
  <c r="V13" i="2" s="1"/>
  <c r="V14" i="2" s="1"/>
  <c r="V33" i="2" l="1"/>
  <c r="W10" i="2" s="1"/>
  <c r="W12" i="2" s="1"/>
  <c r="W13" i="2" s="1"/>
  <c r="W14" i="2" s="1"/>
  <c r="W33" i="2" l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Z22" i="2" l="1"/>
  <c r="Z23" i="2" s="1"/>
  <c r="Z24" i="2" s="1"/>
</calcChain>
</file>

<file path=xl/sharedStrings.xml><?xml version="1.0" encoding="utf-8"?>
<sst xmlns="http://schemas.openxmlformats.org/spreadsheetml/2006/main" count="53" uniqueCount="46">
  <si>
    <t>PLTR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</si>
  <si>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</si>
  <si>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</si>
  <si>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</si>
  <si>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</si>
  <si>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</si>
  <si>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</si>
  <si>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</si>
  <si>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</si>
  <si>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</si>
  <si>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</si>
  <si>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</si>
  <si>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</si>
  <si>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Rule of 40</t>
  </si>
  <si>
    <t>EBITDA %</t>
  </si>
  <si>
    <t>FCF</t>
  </si>
  <si>
    <t>CFFO</t>
  </si>
  <si>
    <t>CX</t>
  </si>
  <si>
    <t>Net Income</t>
  </si>
  <si>
    <t>Maturity</t>
  </si>
  <si>
    <t>Discount</t>
  </si>
  <si>
    <t>NPV</t>
  </si>
  <si>
    <t>Diff</t>
  </si>
  <si>
    <t>COGS</t>
  </si>
  <si>
    <t>Gross Profit</t>
  </si>
  <si>
    <t>S&amp;M</t>
  </si>
  <si>
    <t>R&amp;D</t>
  </si>
  <si>
    <t>G&amp;A</t>
  </si>
  <si>
    <t>Pretax Income</t>
  </si>
  <si>
    <t>Tax</t>
  </si>
  <si>
    <t>Interest</t>
  </si>
  <si>
    <t>Other Income</t>
  </si>
  <si>
    <t>Gross Margin</t>
  </si>
  <si>
    <t>Tax Rate</t>
  </si>
  <si>
    <t>FCF Margin</t>
  </si>
  <si>
    <t>ROIC</t>
  </si>
  <si>
    <t>EPS</t>
  </si>
  <si>
    <t>Net Cash</t>
  </si>
  <si>
    <t>Operating Income</t>
  </si>
  <si>
    <t>Q225</t>
  </si>
  <si>
    <t>Q325</t>
  </si>
  <si>
    <t>Q425</t>
  </si>
  <si>
    <t>Revenue y/y</t>
  </si>
  <si>
    <t>Revenue q/q</t>
  </si>
  <si>
    <t>OPEX Margin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</si>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</sst>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28575</xdr:rowOff>
    </xdr:from>
    <xdr:to>
      <xdr:col>13</xdr:col>
      <xdr:colOff>9525</xdr:colOff>
      <xdr:row>24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D81122-4F06-16EA-0D67-4C8D7C3A90C4}"/>
            </a:ext>
          </a:extLst>
        </xdr:cNvPr>
        <xdr:cNvCxnSpPr/>
      </xdr:nvCxnSpPr>
      <xdr:spPr>
        <a:xfrm>
          <a:off x="6076950" y="28575"/>
          <a:ext cx="28575" cy="359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9525</xdr:colOff>
      <xdr:row>23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DE834C-F0B0-2497-5AE1-977B2E68C64A}"/>
            </a:ext>
          </a:extLst>
        </xdr:cNvPr>
        <xdr:cNvCxnSpPr/>
      </xdr:nvCxnSpPr>
      <xdr:spPr>
        <a:xfrm>
          <a:off x="4200525" y="9525"/>
          <a:ext cx="0" cy="420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8D33-7BAB-4D53-9D30-0903F79F6C1F}">
  <dimension ref="A1:E7"/>
  <sheetViews>
    <sheetView zoomScale="235" zoomScaleNormal="235" workbookViewId="0">
      <selection activeCell="B15" sqref="B15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9">
        <v>119</v>
      </c>
    </row>
    <row r="3" spans="1:5" x14ac:dyDescent="0.2">
      <c r="C3" s="8" t="s">
        <v>2</v>
      </c>
      <c r="D3" s="1">
        <f>2262.91+96+1</f>
        <v>2359.91</v>
      </c>
      <c r="E3" s="8" t="s">
        <v>11</v>
      </c>
    </row>
    <row r="4" spans="1:5" x14ac:dyDescent="0.2">
      <c r="C4" s="8" t="s">
        <v>3</v>
      </c>
      <c r="D4" s="1">
        <f>D3*D2</f>
        <v>280829.28999999998</v>
      </c>
    </row>
    <row r="5" spans="1:5" x14ac:dyDescent="0.2">
      <c r="C5" s="8" t="s">
        <v>4</v>
      </c>
      <c r="D5" s="1">
        <f>993.46+4437.22</f>
        <v>5430.68</v>
      </c>
      <c r="E5" s="8" t="s">
        <v>11</v>
      </c>
    </row>
    <row r="6" spans="1:5" x14ac:dyDescent="0.2">
      <c r="C6" s="8" t="s">
        <v>5</v>
      </c>
      <c r="D6" s="1">
        <f>36.37+1.46+200.17+12.48</f>
        <v>250.48</v>
      </c>
      <c r="E6" s="8" t="s">
        <v>11</v>
      </c>
    </row>
    <row r="7" spans="1:5" x14ac:dyDescent="0.2">
      <c r="C7" s="8" t="s">
        <v>6</v>
      </c>
      <c r="D7" s="1">
        <f>D4+D6-D5</f>
        <v>275649.08999999997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906-26CA-4CF3-9151-8BD547BB3B30}">
  <dimension ref="A1:BZ37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Z19" sqref="Z19"/>
    </sheetView>
  </sheetViews>
  <sheetFormatPr defaultRowHeight="14.25" x14ac:dyDescent="0.2"/>
  <cols>
    <col min="1" max="1" width="20" style="1" customWidth="1"/>
    <col min="2" max="16384" width="9.140625" style="1"/>
  </cols>
  <sheetData>
    <row r="1" spans="1:78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39</v>
      </c>
      <c r="H1" s="1" t="s">
        <v>40</v>
      </c>
      <c r="I1" s="1" t="s">
        <v>41</v>
      </c>
      <c r="K1" s="2">
        <v>2022</v>
      </c>
      <c r="L1" s="2">
        <f>K1+1</f>
        <v>2023</v>
      </c>
      <c r="M1" s="2">
        <f t="shared" ref="M1:S1" si="0">L1+1</f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si="0"/>
        <v>2030</v>
      </c>
      <c r="T1" s="2">
        <f t="shared" ref="T1" si="1">S1+1</f>
        <v>2031</v>
      </c>
      <c r="U1" s="2">
        <f t="shared" ref="U1" si="2">T1+1</f>
        <v>2032</v>
      </c>
      <c r="V1" s="2">
        <f t="shared" ref="V1" si="3">U1+1</f>
        <v>2033</v>
      </c>
      <c r="W1" s="2">
        <f t="shared" ref="W1" si="4">V1+1</f>
        <v>2034</v>
      </c>
    </row>
    <row r="2" spans="1:78" ht="15" x14ac:dyDescent="0.25">
      <c r="A2" s="3" t="s">
        <v>12</v>
      </c>
      <c r="B2" s="3"/>
      <c r="C2" s="3"/>
      <c r="D2" s="3"/>
      <c r="E2" s="3">
        <v>827.5</v>
      </c>
      <c r="F2" s="3">
        <v>860</v>
      </c>
      <c r="G2" s="3">
        <v>938</v>
      </c>
      <c r="H2" s="3">
        <f>G2*1.09</f>
        <v>1022.4200000000001</v>
      </c>
      <c r="I2" s="3">
        <f>H2*1.09</f>
        <v>1114.4378000000002</v>
      </c>
      <c r="J2" s="3"/>
      <c r="K2" s="3">
        <v>1905.8</v>
      </c>
      <c r="L2" s="3">
        <v>2225</v>
      </c>
      <c r="M2" s="3">
        <v>2865.5</v>
      </c>
      <c r="N2" s="3">
        <f>SUM(F2:I2)</f>
        <v>3934.8578000000002</v>
      </c>
      <c r="O2" s="3">
        <f>N2*1.5</f>
        <v>5902.2867000000006</v>
      </c>
      <c r="P2" s="3">
        <f>O2*1.7</f>
        <v>10033.88739</v>
      </c>
      <c r="Q2" s="3">
        <f>P2*2</f>
        <v>20067.77478</v>
      </c>
      <c r="R2" s="3">
        <f>Q2*1.4</f>
        <v>28094.884692</v>
      </c>
      <c r="S2" s="3">
        <f>R2*1.34</f>
        <v>37647.145487280002</v>
      </c>
      <c r="T2" s="3">
        <f t="shared" ref="T2:W2" si="5">S2*1.34</f>
        <v>50447.174952955203</v>
      </c>
      <c r="U2" s="3">
        <f t="shared" si="5"/>
        <v>67599.21443695997</v>
      </c>
      <c r="V2" s="3">
        <f t="shared" si="5"/>
        <v>90582.947345526365</v>
      </c>
      <c r="W2" s="3">
        <f t="shared" si="5"/>
        <v>121381.14944300534</v>
      </c>
    </row>
    <row r="3" spans="1:78" x14ac:dyDescent="0.2">
      <c r="A3" s="1" t="s">
        <v>23</v>
      </c>
      <c r="K3" s="1">
        <v>408.5</v>
      </c>
      <c r="L3" s="1">
        <v>431.1</v>
      </c>
      <c r="M3" s="1">
        <v>565.99</v>
      </c>
      <c r="N3" s="1">
        <f>N2*(1-N21)</f>
        <v>745.63172836336366</v>
      </c>
      <c r="O3" s="1">
        <f>O2*(1-O21)</f>
        <v>1070.6092014704961</v>
      </c>
      <c r="P3" s="1">
        <f>P2*(1-P21)</f>
        <v>1737.8971250248412</v>
      </c>
      <c r="Q3" s="1">
        <f>Q2*(1-Q21)</f>
        <v>3309.8744447501786</v>
      </c>
      <c r="R3" s="1">
        <f>R2*(1-R21)</f>
        <v>4399.2136179567524</v>
      </c>
      <c r="S3" s="1">
        <f t="shared" ref="S3:T3" si="6">S2*(1-S21)</f>
        <v>6023.5432779648017</v>
      </c>
      <c r="T3" s="1">
        <f t="shared" si="6"/>
        <v>8071.5479924728343</v>
      </c>
      <c r="U3" s="1">
        <f t="shared" ref="U3" si="7">U2*(1-U21)</f>
        <v>10815.874309913597</v>
      </c>
      <c r="V3" s="1">
        <f t="shared" ref="V3" si="8">V2*(1-V21)</f>
        <v>14493.271575284221</v>
      </c>
      <c r="W3" s="1">
        <f t="shared" ref="W3" si="9">W2*(1-W21)</f>
        <v>19420.983910880859</v>
      </c>
    </row>
    <row r="4" spans="1:78" x14ac:dyDescent="0.2">
      <c r="A4" s="1" t="s">
        <v>24</v>
      </c>
      <c r="B4" s="1">
        <f>B2-B3</f>
        <v>0</v>
      </c>
      <c r="C4" s="1">
        <f>C2-C3</f>
        <v>0</v>
      </c>
      <c r="D4" s="1">
        <f>D2-D3</f>
        <v>0</v>
      </c>
      <c r="E4" s="1">
        <f>E2-E3</f>
        <v>827.5</v>
      </c>
      <c r="F4" s="1">
        <f>F2-F3</f>
        <v>860</v>
      </c>
      <c r="G4" s="1">
        <f t="shared" ref="G4:I4" si="10">G2-G3</f>
        <v>938</v>
      </c>
      <c r="H4" s="1">
        <f t="shared" si="10"/>
        <v>1022.4200000000001</v>
      </c>
      <c r="I4" s="1">
        <f t="shared" si="10"/>
        <v>1114.4378000000002</v>
      </c>
      <c r="K4" s="1">
        <f>K2-K3</f>
        <v>1497.3</v>
      </c>
      <c r="L4" s="1">
        <f t="shared" ref="L4:R4" si="11">L2-L3</f>
        <v>1793.9</v>
      </c>
      <c r="M4" s="1">
        <f t="shared" si="11"/>
        <v>2299.5100000000002</v>
      </c>
      <c r="N4" s="1">
        <f t="shared" si="11"/>
        <v>3189.2260716366363</v>
      </c>
      <c r="O4" s="1">
        <f t="shared" si="11"/>
        <v>4831.6774985295042</v>
      </c>
      <c r="P4" s="1">
        <f t="shared" si="11"/>
        <v>8295.9902649751584</v>
      </c>
      <c r="Q4" s="1">
        <f t="shared" si="11"/>
        <v>16757.900335249822</v>
      </c>
      <c r="R4" s="1">
        <f t="shared" si="11"/>
        <v>23695.671074043246</v>
      </c>
      <c r="S4" s="1">
        <f t="shared" ref="S4:T4" si="12">S2-S3</f>
        <v>31623.602209315199</v>
      </c>
      <c r="T4" s="1">
        <f t="shared" si="12"/>
        <v>42375.626960482368</v>
      </c>
      <c r="U4" s="1">
        <f t="shared" ref="U4:W4" si="13">U2-U3</f>
        <v>56783.340127046373</v>
      </c>
      <c r="V4" s="1">
        <f t="shared" si="13"/>
        <v>76089.675770242146</v>
      </c>
      <c r="W4" s="1">
        <f t="shared" si="13"/>
        <v>101960.16553212449</v>
      </c>
    </row>
    <row r="5" spans="1:78" x14ac:dyDescent="0.2">
      <c r="A5" s="1" t="s">
        <v>25</v>
      </c>
      <c r="K5" s="1">
        <v>702.5</v>
      </c>
      <c r="L5" s="1">
        <v>744.9</v>
      </c>
      <c r="M5" s="1">
        <v>887.7</v>
      </c>
      <c r="N5" s="1">
        <f>M5*(1+N18)</f>
        <v>1218.9751418809983</v>
      </c>
      <c r="O5" s="1">
        <f t="shared" ref="O5:R5" si="14">N5*(1+O18)</f>
        <v>1828.4627128214975</v>
      </c>
      <c r="P5" s="1">
        <f t="shared" si="14"/>
        <v>3108.3866117965454</v>
      </c>
      <c r="Q5" s="1">
        <f t="shared" si="14"/>
        <v>6216.7732235930907</v>
      </c>
      <c r="R5" s="1">
        <f t="shared" si="14"/>
        <v>8703.482513030327</v>
      </c>
      <c r="S5" s="1">
        <f t="shared" ref="S5:T5" si="15">R5*(1+S18)</f>
        <v>11662.666567460639</v>
      </c>
      <c r="T5" s="1">
        <f t="shared" si="15"/>
        <v>15627.973200397257</v>
      </c>
      <c r="U5" s="1">
        <f t="shared" ref="U5:W5" si="16">T5*(1+U18)</f>
        <v>20941.484088532321</v>
      </c>
      <c r="V5" s="1">
        <f t="shared" si="16"/>
        <v>28061.58867863331</v>
      </c>
      <c r="W5" s="1">
        <f t="shared" si="16"/>
        <v>37602.528829368639</v>
      </c>
    </row>
    <row r="6" spans="1:78" x14ac:dyDescent="0.2">
      <c r="A6" s="1" t="s">
        <v>26</v>
      </c>
      <c r="K6" s="1">
        <v>359.6</v>
      </c>
      <c r="L6" s="1">
        <v>404.6</v>
      </c>
      <c r="M6" s="1">
        <v>507.9</v>
      </c>
      <c r="N6" s="1">
        <f>M6*(1+N18)</f>
        <v>697.43998486128078</v>
      </c>
      <c r="O6" s="1">
        <f t="shared" ref="O6:R6" si="17">N6*(1+O18)</f>
        <v>1046.1599772919212</v>
      </c>
      <c r="P6" s="1">
        <f t="shared" si="17"/>
        <v>1778.4719613962659</v>
      </c>
      <c r="Q6" s="1">
        <f t="shared" si="17"/>
        <v>3556.9439227925318</v>
      </c>
      <c r="R6" s="1">
        <f t="shared" si="17"/>
        <v>4979.7214919095441</v>
      </c>
      <c r="S6" s="1">
        <f t="shared" ref="S6:T6" si="18">R6*(1+S18)</f>
        <v>6672.8267991587891</v>
      </c>
      <c r="T6" s="1">
        <f t="shared" si="18"/>
        <v>8941.5879108727786</v>
      </c>
      <c r="U6" s="1">
        <f t="shared" ref="U6:W6" si="19">T6*(1+U18)</f>
        <v>11981.727800569523</v>
      </c>
      <c r="V6" s="1">
        <f t="shared" si="19"/>
        <v>16055.515252763162</v>
      </c>
      <c r="W6" s="1">
        <f t="shared" si="19"/>
        <v>21514.390438702638</v>
      </c>
    </row>
    <row r="7" spans="1:78" x14ac:dyDescent="0.2">
      <c r="A7" s="1" t="s">
        <v>27</v>
      </c>
      <c r="K7" s="1">
        <v>596.29999999999995</v>
      </c>
      <c r="L7" s="1">
        <v>524.29999999999995</v>
      </c>
      <c r="M7" s="1">
        <v>593.4</v>
      </c>
      <c r="N7" s="1">
        <f>M7*(1+N18)</f>
        <v>814.84718845576697</v>
      </c>
      <c r="O7" s="1">
        <f t="shared" ref="O7:R7" si="20">N7*(1+O18)</f>
        <v>1222.2707826836504</v>
      </c>
      <c r="P7" s="1">
        <f t="shared" si="20"/>
        <v>2077.8603305622055</v>
      </c>
      <c r="Q7" s="1">
        <f t="shared" si="20"/>
        <v>4155.720661124411</v>
      </c>
      <c r="R7" s="1">
        <f t="shared" si="20"/>
        <v>5818.008925574175</v>
      </c>
      <c r="S7" s="1">
        <f t="shared" ref="S7:T7" si="21">R7*(1+S18)</f>
        <v>7796.1319602693948</v>
      </c>
      <c r="T7" s="1">
        <f t="shared" si="21"/>
        <v>10446.816826760989</v>
      </c>
      <c r="U7" s="1">
        <f t="shared" ref="U7:W7" si="22">T7*(1+U18)</f>
        <v>13998.734547859724</v>
      </c>
      <c r="V7" s="1">
        <f t="shared" si="22"/>
        <v>18758.304294132031</v>
      </c>
      <c r="W7" s="1">
        <f t="shared" si="22"/>
        <v>25136.127754136924</v>
      </c>
    </row>
    <row r="8" spans="1:78" x14ac:dyDescent="0.2">
      <c r="A8" s="10" t="s">
        <v>45</v>
      </c>
      <c r="F8" s="1">
        <f>SUM(F5:F7)</f>
        <v>0</v>
      </c>
      <c r="G8" s="1">
        <f t="shared" ref="G8:I8" si="23">SUM(G5:G7)</f>
        <v>0</v>
      </c>
      <c r="H8" s="1">
        <f t="shared" si="23"/>
        <v>0</v>
      </c>
      <c r="I8" s="1">
        <f t="shared" si="23"/>
        <v>0</v>
      </c>
      <c r="K8" s="1">
        <f>SUM(K5:K7)</f>
        <v>1658.3999999999999</v>
      </c>
      <c r="L8" s="1">
        <f t="shared" ref="L8:M8" si="24">SUM(L5:L7)</f>
        <v>1673.8</v>
      </c>
      <c r="M8" s="1">
        <f t="shared" si="24"/>
        <v>1989</v>
      </c>
      <c r="N8" s="1">
        <f>M8*1.2</f>
        <v>2386.7999999999997</v>
      </c>
      <c r="O8" s="1">
        <f t="shared" ref="O8:R8" si="25">N8*1.2</f>
        <v>2864.1599999999994</v>
      </c>
      <c r="P8" s="1">
        <f t="shared" si="25"/>
        <v>3436.9919999999993</v>
      </c>
      <c r="Q8" s="1">
        <f t="shared" si="25"/>
        <v>4124.3903999999993</v>
      </c>
      <c r="R8" s="1">
        <f t="shared" si="25"/>
        <v>4949.2684799999988</v>
      </c>
      <c r="S8" s="1">
        <f>R8*1.1</f>
        <v>5444.1953279999989</v>
      </c>
      <c r="T8" s="1">
        <f t="shared" ref="T8:W8" si="26">S8*1.1</f>
        <v>5988.6148607999994</v>
      </c>
      <c r="U8" s="1">
        <f t="shared" si="26"/>
        <v>6587.4763468800002</v>
      </c>
      <c r="V8" s="1">
        <f t="shared" si="26"/>
        <v>7246.2239815680005</v>
      </c>
      <c r="W8" s="1">
        <f t="shared" si="26"/>
        <v>7970.8463797248014</v>
      </c>
    </row>
    <row r="9" spans="1:78" x14ac:dyDescent="0.2">
      <c r="A9" s="1" t="s">
        <v>38</v>
      </c>
      <c r="E9" s="1">
        <v>379.5</v>
      </c>
      <c r="F9" s="1">
        <v>356</v>
      </c>
      <c r="G9" s="1">
        <f t="shared" ref="G9:I9" si="27">G4-G8</f>
        <v>938</v>
      </c>
      <c r="H9" s="1">
        <f t="shared" si="27"/>
        <v>1022.4200000000001</v>
      </c>
      <c r="I9" s="1">
        <f t="shared" si="27"/>
        <v>1114.4378000000002</v>
      </c>
      <c r="K9" s="1">
        <f t="shared" ref="K9:R9" si="28">K4-K8</f>
        <v>-161.09999999999991</v>
      </c>
      <c r="L9" s="1">
        <f t="shared" si="28"/>
        <v>120.10000000000014</v>
      </c>
      <c r="M9" s="1">
        <f t="shared" si="28"/>
        <v>310.51000000000022</v>
      </c>
      <c r="N9" s="1">
        <f t="shared" si="28"/>
        <v>802.42607163663661</v>
      </c>
      <c r="O9" s="1">
        <f t="shared" si="28"/>
        <v>1967.5174985295048</v>
      </c>
      <c r="P9" s="1">
        <f t="shared" si="28"/>
        <v>4858.9982649751591</v>
      </c>
      <c r="Q9" s="1">
        <f t="shared" si="28"/>
        <v>12633.509935249822</v>
      </c>
      <c r="R9" s="1">
        <f t="shared" si="28"/>
        <v>18746.402594043248</v>
      </c>
      <c r="S9" s="1">
        <f t="shared" ref="S9:T9" si="29">S4-S8</f>
        <v>26179.406881315201</v>
      </c>
      <c r="T9" s="1">
        <f t="shared" si="29"/>
        <v>36387.012099682368</v>
      </c>
      <c r="U9" s="1">
        <f t="shared" ref="U9:W9" si="30">U4-U8</f>
        <v>50195.863780166372</v>
      </c>
      <c r="V9" s="1">
        <f t="shared" si="30"/>
        <v>68843.451788674138</v>
      </c>
      <c r="W9" s="1">
        <f t="shared" si="30"/>
        <v>93989.319152399694</v>
      </c>
    </row>
    <row r="10" spans="1:78" x14ac:dyDescent="0.2">
      <c r="A10" s="1" t="s">
        <v>30</v>
      </c>
      <c r="K10" s="1">
        <v>20.3</v>
      </c>
      <c r="L10" s="1">
        <v>132.5</v>
      </c>
      <c r="M10" s="1">
        <v>196.8</v>
      </c>
      <c r="N10" s="1">
        <f>M33*$Z$19</f>
        <v>298.73399999999998</v>
      </c>
      <c r="O10" s="1">
        <f>N33*$Z$19</f>
        <v>358.51449995434228</v>
      </c>
      <c r="P10" s="1">
        <f>O33*$Z$19</f>
        <v>485.89789491065062</v>
      </c>
      <c r="Q10" s="1">
        <f>P33*$Z$19</f>
        <v>779.91245586274727</v>
      </c>
      <c r="R10" s="1">
        <f>Q33*$Z$19</f>
        <v>1430.8944636828703</v>
      </c>
      <c r="S10" s="1">
        <f>R33*$Z$19</f>
        <v>2410.5916770965323</v>
      </c>
      <c r="T10" s="1">
        <f>S33*$Z$19</f>
        <v>3799.1369892075963</v>
      </c>
      <c r="U10" s="1">
        <f>T33*$Z$19</f>
        <v>5751.2459309216256</v>
      </c>
      <c r="V10" s="1">
        <f>U33*$Z$19</f>
        <v>8469.3281798344196</v>
      </c>
      <c r="W10" s="1">
        <f>V33*$Z$19</f>
        <v>12225.77253042739</v>
      </c>
    </row>
    <row r="11" spans="1:78" ht="15.75" customHeight="1" x14ac:dyDescent="0.2">
      <c r="A11" s="1" t="s">
        <v>31</v>
      </c>
      <c r="K11" s="1">
        <v>-220</v>
      </c>
      <c r="L11" s="1">
        <v>-15.4</v>
      </c>
      <c r="M11" s="1">
        <v>-18</v>
      </c>
      <c r="N11" s="1">
        <f>M11*1.01</f>
        <v>-18.18</v>
      </c>
      <c r="O11" s="1">
        <f t="shared" ref="O11:R11" si="31">N11*1.01</f>
        <v>-18.361799999999999</v>
      </c>
      <c r="P11" s="1">
        <f t="shared" si="31"/>
        <v>-18.545417999999998</v>
      </c>
      <c r="Q11" s="1">
        <f t="shared" si="31"/>
        <v>-18.730872179999999</v>
      </c>
      <c r="R11" s="1">
        <f t="shared" si="31"/>
        <v>-18.9181809018</v>
      </c>
      <c r="S11" s="1">
        <f t="shared" ref="S11" si="32">R11*1.01</f>
        <v>-19.107362710817998</v>
      </c>
      <c r="T11" s="1">
        <f t="shared" ref="T11" si="33">S11*1.01</f>
        <v>-19.29843633792618</v>
      </c>
      <c r="U11" s="1">
        <f t="shared" ref="U11" si="34">T11*1.01</f>
        <v>-19.491420701305444</v>
      </c>
      <c r="V11" s="1">
        <f t="shared" ref="V11" si="35">U11*1.01</f>
        <v>-19.6863349083185</v>
      </c>
      <c r="W11" s="1">
        <f t="shared" ref="W11" si="36">V11*1.01</f>
        <v>-19.883198257401684</v>
      </c>
    </row>
    <row r="12" spans="1:78" x14ac:dyDescent="0.2">
      <c r="A12" s="1" t="s">
        <v>28</v>
      </c>
      <c r="F12" s="1">
        <f>F9+SUM(F10:F11)</f>
        <v>356</v>
      </c>
      <c r="G12" s="1">
        <f t="shared" ref="G12:I12" si="37">G9+SUM(G10:G11)</f>
        <v>938</v>
      </c>
      <c r="H12" s="1">
        <f t="shared" si="37"/>
        <v>1022.4200000000001</v>
      </c>
      <c r="I12" s="1">
        <f t="shared" si="37"/>
        <v>1114.4378000000002</v>
      </c>
      <c r="K12" s="1">
        <f t="shared" ref="K12:R12" si="38">K9+SUM(K10:K11)</f>
        <v>-360.7999999999999</v>
      </c>
      <c r="L12" s="1">
        <f t="shared" si="38"/>
        <v>237.20000000000013</v>
      </c>
      <c r="M12" s="1">
        <f t="shared" si="38"/>
        <v>489.31000000000023</v>
      </c>
      <c r="N12" s="1">
        <f t="shared" si="38"/>
        <v>1082.9800716366367</v>
      </c>
      <c r="O12" s="1">
        <f t="shared" si="38"/>
        <v>2307.6701984838469</v>
      </c>
      <c r="P12" s="1">
        <f t="shared" si="38"/>
        <v>5326.3507418858098</v>
      </c>
      <c r="Q12" s="1">
        <f t="shared" si="38"/>
        <v>13394.69151893257</v>
      </c>
      <c r="R12" s="1">
        <f t="shared" si="38"/>
        <v>20158.378876824318</v>
      </c>
      <c r="S12" s="1">
        <f t="shared" ref="S12:T12" si="39">S9+SUM(S10:S11)</f>
        <v>28570.891195700915</v>
      </c>
      <c r="T12" s="1">
        <f t="shared" si="39"/>
        <v>40166.850652552035</v>
      </c>
      <c r="U12" s="1">
        <f t="shared" ref="U12:W12" si="40">U9+SUM(U10:U11)</f>
        <v>55927.618290386694</v>
      </c>
      <c r="V12" s="1">
        <f t="shared" si="40"/>
        <v>77293.093633600234</v>
      </c>
      <c r="W12" s="1">
        <f t="shared" si="40"/>
        <v>106195.20848456968</v>
      </c>
    </row>
    <row r="13" spans="1:78" x14ac:dyDescent="0.2">
      <c r="A13" s="1" t="s">
        <v>29</v>
      </c>
      <c r="G13" s="1">
        <f>G25*G12</f>
        <v>0</v>
      </c>
      <c r="H13" s="1">
        <f t="shared" ref="H13:I13" si="41">H25*H12</f>
        <v>0</v>
      </c>
      <c r="I13" s="1">
        <f t="shared" si="41"/>
        <v>0</v>
      </c>
      <c r="K13" s="1">
        <v>10</v>
      </c>
      <c r="L13" s="1">
        <v>19.7</v>
      </c>
      <c r="M13" s="1">
        <v>21.2</v>
      </c>
      <c r="N13" s="1">
        <f>N25*N12</f>
        <v>86.638405730930941</v>
      </c>
      <c r="O13" s="1">
        <f>O25*O12</f>
        <v>184.61361587870775</v>
      </c>
      <c r="P13" s="1">
        <f>P25*P12</f>
        <v>426.10805935086478</v>
      </c>
      <c r="Q13" s="1">
        <f>Q25*Q12</f>
        <v>2544.9913885971882</v>
      </c>
      <c r="R13" s="1">
        <f>R25*R12</f>
        <v>3830.0919865966202</v>
      </c>
      <c r="S13" s="1">
        <f t="shared" ref="S13:T13" si="42">S25*S12</f>
        <v>5428.4693271831738</v>
      </c>
      <c r="T13" s="1">
        <f t="shared" si="42"/>
        <v>7631.7016239848872</v>
      </c>
      <c r="U13" s="1">
        <f t="shared" ref="U13" si="43">U25*U12</f>
        <v>10626.247475173472</v>
      </c>
      <c r="V13" s="1">
        <f t="shared" ref="V13" si="44">V25*V12</f>
        <v>14685.687790384045</v>
      </c>
      <c r="W13" s="1">
        <f t="shared" ref="W13" si="45">W25*W12</f>
        <v>20177.089612068241</v>
      </c>
    </row>
    <row r="14" spans="1:78" ht="15" x14ac:dyDescent="0.25">
      <c r="A14" s="3" t="s">
        <v>18</v>
      </c>
      <c r="B14" s="3"/>
      <c r="C14" s="3"/>
      <c r="D14" s="3"/>
      <c r="E14" s="3"/>
      <c r="F14" s="3">
        <f>F12-F13</f>
        <v>356</v>
      </c>
      <c r="G14" s="3">
        <f t="shared" ref="G14:I14" si="46">G12-G13</f>
        <v>938</v>
      </c>
      <c r="H14" s="3">
        <f t="shared" si="46"/>
        <v>1022.4200000000001</v>
      </c>
      <c r="I14" s="3">
        <f t="shared" si="46"/>
        <v>1114.4378000000002</v>
      </c>
      <c r="J14" s="3"/>
      <c r="K14" s="3">
        <f>K12-K13</f>
        <v>-370.7999999999999</v>
      </c>
      <c r="L14" s="3">
        <f>L12-L13</f>
        <v>217.50000000000014</v>
      </c>
      <c r="M14" s="3">
        <f>M12-M13</f>
        <v>468.11000000000024</v>
      </c>
      <c r="N14" s="3">
        <f>N12-N13</f>
        <v>996.34166590570578</v>
      </c>
      <c r="O14" s="3">
        <f t="shared" ref="O14:W14" si="47">O12-O13</f>
        <v>2123.0565826051393</v>
      </c>
      <c r="P14" s="3">
        <f t="shared" si="47"/>
        <v>4900.2426825349448</v>
      </c>
      <c r="Q14" s="3">
        <f t="shared" si="47"/>
        <v>10849.700130335383</v>
      </c>
      <c r="R14" s="3">
        <f t="shared" si="47"/>
        <v>16328.286890227697</v>
      </c>
      <c r="S14" s="3">
        <f t="shared" si="47"/>
        <v>23142.42186851774</v>
      </c>
      <c r="T14" s="3">
        <f t="shared" si="47"/>
        <v>32535.149028567146</v>
      </c>
      <c r="U14" s="3">
        <f t="shared" si="47"/>
        <v>45301.370815213224</v>
      </c>
      <c r="V14" s="3">
        <f t="shared" si="47"/>
        <v>62607.405843216191</v>
      </c>
      <c r="W14" s="3">
        <f t="shared" si="47"/>
        <v>86018.118872501436</v>
      </c>
      <c r="X14" s="3">
        <f>W14*(1+$Z$20)</f>
        <v>86878.300061226459</v>
      </c>
      <c r="Y14" s="3">
        <f>X14*(1+$Z$20)</f>
        <v>87747.083061838726</v>
      </c>
      <c r="Z14" s="3">
        <f>Y14*(1+$Z$20)</f>
        <v>88624.553892457116</v>
      </c>
      <c r="AA14" s="3">
        <f>Z14*(1+$Z$20)</f>
        <v>89510.799431381689</v>
      </c>
      <c r="AB14" s="3">
        <f>AA14*(1+$Z$20)</f>
        <v>90405.907425695506</v>
      </c>
      <c r="AC14" s="3">
        <f>AB14*(1+$Z$20)</f>
        <v>91309.966499952468</v>
      </c>
      <c r="AD14" s="3">
        <f>AC14*(1+$Z$20)</f>
        <v>92223.06616495199</v>
      </c>
      <c r="AE14" s="3">
        <f>AD14*(1+$Z$20)</f>
        <v>93145.296826601509</v>
      </c>
      <c r="AF14" s="3">
        <f>AE14*(1+$Z$20)</f>
        <v>94076.74979486753</v>
      </c>
      <c r="AG14" s="3">
        <f>AF14*(1+$Z$20)</f>
        <v>95017.517292816206</v>
      </c>
      <c r="AH14" s="3">
        <f>AG14*(1+$Z$20)</f>
        <v>95967.692465744374</v>
      </c>
      <c r="AI14" s="3">
        <f>AH14*(1+$Z$20)</f>
        <v>96927.369390401815</v>
      </c>
      <c r="AJ14" s="3">
        <f>AI14*(1+$Z$20)</f>
        <v>97896.643084305833</v>
      </c>
      <c r="AK14" s="3">
        <f>AJ14*(1+$Z$20)</f>
        <v>98875.609515148899</v>
      </c>
      <c r="AL14" s="3">
        <f>AK14*(1+$Z$20)</f>
        <v>99864.365610300389</v>
      </c>
      <c r="AM14" s="3">
        <f>AL14*(1+$Z$20)</f>
        <v>100863.00926640339</v>
      </c>
      <c r="AN14" s="3">
        <f>AM14*(1+$Z$20)</f>
        <v>101871.63935906743</v>
      </c>
      <c r="AO14" s="3">
        <f>AN14*(1+$Z$20)</f>
        <v>102890.3557526581</v>
      </c>
      <c r="AP14" s="3">
        <f>AO14*(1+$Z$20)</f>
        <v>103919.25931018469</v>
      </c>
      <c r="AQ14" s="3">
        <f>AP14*(1+$Z$20)</f>
        <v>104958.45190328654</v>
      </c>
      <c r="AR14" s="3">
        <f>AQ14*(1+$Z$20)</f>
        <v>106008.0364223194</v>
      </c>
      <c r="AS14" s="3">
        <f>AR14*(1+$Z$20)</f>
        <v>107068.1167865426</v>
      </c>
      <c r="AT14" s="3">
        <f>AS14*(1+$Z$20)</f>
        <v>108138.79795440803</v>
      </c>
      <c r="AU14" s="3">
        <f>AT14*(1+$Z$20)</f>
        <v>109220.18593395212</v>
      </c>
      <c r="AV14" s="3">
        <f>AU14*(1+$Z$20)</f>
        <v>110312.38779329164</v>
      </c>
      <c r="AW14" s="3">
        <f>AV14*(1+$Z$20)</f>
        <v>111415.51167122455</v>
      </c>
      <c r="AX14" s="3">
        <f>AW14*(1+$Z$20)</f>
        <v>112529.6667879368</v>
      </c>
      <c r="AY14" s="3">
        <f>AX14*(1+$Z$20)</f>
        <v>113654.96345581618</v>
      </c>
      <c r="AZ14" s="3">
        <f>AY14*(1+$Z$20)</f>
        <v>114791.51309037434</v>
      </c>
      <c r="BA14" s="3">
        <f>AZ14*(1+$Z$20)</f>
        <v>115939.42822127808</v>
      </c>
      <c r="BB14" s="3">
        <f>BA14*(1+$Z$20)</f>
        <v>117098.82250349087</v>
      </c>
      <c r="BC14" s="3">
        <f>BB14*(1+$Z$20)</f>
        <v>118269.81072852577</v>
      </c>
      <c r="BD14" s="3">
        <f>BC14*(1+$Z$20)</f>
        <v>119452.50883581104</v>
      </c>
      <c r="BE14" s="3">
        <f>BD14*(1+$Z$20)</f>
        <v>120647.03392416915</v>
      </c>
      <c r="BF14" s="3">
        <f>BE14*(1+$Z$20)</f>
        <v>121853.50426341085</v>
      </c>
      <c r="BG14" s="3">
        <f>BF14*(1+$Z$20)</f>
        <v>123072.03930604496</v>
      </c>
      <c r="BH14" s="3">
        <f>BG14*(1+$Z$20)</f>
        <v>124302.7596991054</v>
      </c>
      <c r="BI14" s="3">
        <f>BH14*(1+$Z$20)</f>
        <v>125545.78729609646</v>
      </c>
      <c r="BJ14" s="3">
        <f>BI14*(1+$Z$20)</f>
        <v>126801.24516905742</v>
      </c>
      <c r="BK14" s="3">
        <f>BJ14*(1+$Z$20)</f>
        <v>128069.257620748</v>
      </c>
      <c r="BL14" s="3">
        <f>BK14*(1+$Z$20)</f>
        <v>129349.95019695548</v>
      </c>
      <c r="BM14" s="3">
        <f>BL14*(1+$Z$20)</f>
        <v>130643.44969892503</v>
      </c>
      <c r="BN14" s="3">
        <f>BM14*(1+$Z$20)</f>
        <v>131949.88419591429</v>
      </c>
      <c r="BO14" s="3">
        <f>BN14*(1+$Z$20)</f>
        <v>133269.38303787343</v>
      </c>
      <c r="BP14" s="3">
        <f>BO14*(1+$Z$20)</f>
        <v>134602.07686825216</v>
      </c>
      <c r="BQ14" s="3">
        <f>BP14*(1+$Z$20)</f>
        <v>135948.09763693469</v>
      </c>
      <c r="BR14" s="3">
        <f>BQ14*(1+$Z$20)</f>
        <v>137307.57861330404</v>
      </c>
      <c r="BS14" s="3">
        <f>BR14*(1+$Z$20)</f>
        <v>138680.65439943707</v>
      </c>
      <c r="BT14" s="3">
        <f>BS14*(1+$Z$20)</f>
        <v>140067.46094343145</v>
      </c>
      <c r="BU14" s="3">
        <f>BT14*(1+$Z$20)</f>
        <v>141468.13555286577</v>
      </c>
      <c r="BV14" s="3">
        <f>BU14*(1+$Z$20)</f>
        <v>142882.81690839442</v>
      </c>
      <c r="BW14" s="3">
        <f>BV14*(1+$Z$20)</f>
        <v>144311.64507747837</v>
      </c>
      <c r="BX14" s="3">
        <f>BW14*(1+$Z$20)</f>
        <v>145754.76152825315</v>
      </c>
      <c r="BY14" s="3">
        <f>BX14*(1+$Z$20)</f>
        <v>147212.30914353568</v>
      </c>
      <c r="BZ14" s="3">
        <f>BY14*(1+$Z$20)</f>
        <v>148684.43223497103</v>
      </c>
    </row>
    <row r="15" spans="1:78" x14ac:dyDescent="0.2">
      <c r="A15" s="1" t="s">
        <v>2</v>
      </c>
      <c r="L15" s="6"/>
      <c r="M15" s="6"/>
    </row>
    <row r="16" spans="1:78" x14ac:dyDescent="0.2">
      <c r="A16" s="1" t="s">
        <v>36</v>
      </c>
    </row>
    <row r="17" spans="1:73" x14ac:dyDescent="0.2">
      <c r="O17" s="6"/>
      <c r="P17" s="6"/>
      <c r="Q17" s="6"/>
      <c r="R17" s="6"/>
      <c r="S17" s="6"/>
      <c r="T17" s="6"/>
    </row>
    <row r="18" spans="1:73" ht="15" x14ac:dyDescent="0.25">
      <c r="A18" s="3" t="s">
        <v>42</v>
      </c>
      <c r="B18" s="3"/>
      <c r="C18" s="3"/>
      <c r="D18" s="3"/>
      <c r="E18" s="3"/>
      <c r="F18" s="4" t="e">
        <f>F2/B2-1</f>
        <v>#DIV/0!</v>
      </c>
      <c r="G18" s="4" t="e">
        <f>G2/C2-1</f>
        <v>#DIV/0!</v>
      </c>
      <c r="H18" s="4" t="e">
        <f t="shared" ref="H18:I18" si="48">H2/D2-1</f>
        <v>#DIV/0!</v>
      </c>
      <c r="I18" s="4">
        <f t="shared" si="48"/>
        <v>0.34675262839879162</v>
      </c>
      <c r="J18" s="3"/>
      <c r="K18" s="3"/>
      <c r="L18" s="4">
        <f>L2/K2-1</f>
        <v>0.1674887186483367</v>
      </c>
      <c r="M18" s="4">
        <f>M2/L2-1</f>
        <v>0.28786516853932587</v>
      </c>
      <c r="N18" s="4">
        <f>N2/M2-1</f>
        <v>0.3731836677717677</v>
      </c>
      <c r="O18" s="4">
        <f t="shared" ref="O18:W18" si="49">O2/N2-1</f>
        <v>0.5</v>
      </c>
      <c r="P18" s="4">
        <f t="shared" si="49"/>
        <v>0.69999999999999973</v>
      </c>
      <c r="Q18" s="4">
        <f t="shared" si="49"/>
        <v>1</v>
      </c>
      <c r="R18" s="4">
        <f t="shared" si="49"/>
        <v>0.39999999999999991</v>
      </c>
      <c r="S18" s="4">
        <f t="shared" si="49"/>
        <v>0.34000000000000008</v>
      </c>
      <c r="T18" s="4">
        <f t="shared" si="49"/>
        <v>0.34000000000000008</v>
      </c>
      <c r="U18" s="4">
        <f t="shared" si="49"/>
        <v>0.33999999999999986</v>
      </c>
      <c r="V18" s="4">
        <f t="shared" si="49"/>
        <v>0.34000000000000008</v>
      </c>
      <c r="W18" s="4">
        <f t="shared" si="49"/>
        <v>0.34000000000000008</v>
      </c>
    </row>
    <row r="19" spans="1:73" ht="15" x14ac:dyDescent="0.25">
      <c r="A19" s="3" t="s">
        <v>43</v>
      </c>
      <c r="B19" s="3"/>
      <c r="C19" s="3"/>
      <c r="D19" s="3"/>
      <c r="E19" s="3"/>
      <c r="F19" s="4">
        <f>F2/E2-1</f>
        <v>3.92749244712991E-2</v>
      </c>
      <c r="G19" s="4">
        <f>G2/F2-1</f>
        <v>9.0697674418604546E-2</v>
      </c>
      <c r="H19" s="4">
        <f t="shared" ref="H19:I19" si="50">H2/G2-1</f>
        <v>9.000000000000008E-2</v>
      </c>
      <c r="I19" s="4">
        <f t="shared" si="50"/>
        <v>9.000000000000008E-2</v>
      </c>
      <c r="J19" s="3"/>
      <c r="K19" s="3"/>
      <c r="L19" s="4"/>
      <c r="M19" s="4">
        <f>M18/L18-1</f>
        <v>0.71871377882909493</v>
      </c>
      <c r="N19" s="4">
        <f>N18/M18-1</f>
        <v>0.29638354534298683</v>
      </c>
      <c r="O19" s="4">
        <f>O18/N18-1</f>
        <v>0.3398228357243942</v>
      </c>
      <c r="P19" s="4">
        <f>P18/O18-1</f>
        <v>0.39999999999999947</v>
      </c>
      <c r="Q19" s="4">
        <f>Q18/P18-1</f>
        <v>0.42857142857142905</v>
      </c>
      <c r="R19" s="4">
        <f>R18/Q18-1</f>
        <v>-0.60000000000000009</v>
      </c>
      <c r="S19" s="4">
        <f>S18/R18-1</f>
        <v>-0.14999999999999958</v>
      </c>
      <c r="T19" s="4">
        <f t="shared" ref="T19:W19" si="51">T18/S18-1</f>
        <v>0</v>
      </c>
      <c r="U19" s="4">
        <f t="shared" si="51"/>
        <v>0</v>
      </c>
      <c r="V19" s="4">
        <f t="shared" si="51"/>
        <v>0</v>
      </c>
      <c r="W19" s="4">
        <f t="shared" si="51"/>
        <v>0</v>
      </c>
      <c r="Y19" s="1" t="s">
        <v>35</v>
      </c>
      <c r="Z19" s="5">
        <v>0.06</v>
      </c>
    </row>
    <row r="20" spans="1:73" x14ac:dyDescent="0.2">
      <c r="A20" s="1" t="s">
        <v>14</v>
      </c>
      <c r="B20" s="1" t="e">
        <f>#REF!/B2</f>
        <v>#REF!</v>
      </c>
      <c r="E20" s="6" t="e">
        <f>#REF!/E2</f>
        <v>#REF!</v>
      </c>
      <c r="F20" s="6" t="e">
        <f>#REF!/F2</f>
        <v>#REF!</v>
      </c>
      <c r="G20" s="6" t="e">
        <f>#REF!/G2</f>
        <v>#REF!</v>
      </c>
      <c r="H20" s="6"/>
      <c r="I20" s="6"/>
      <c r="J20" s="6"/>
      <c r="K20" s="6">
        <f>K9/K2</f>
        <v>-8.4531430370448066E-2</v>
      </c>
      <c r="L20" s="6">
        <f>L9/L2</f>
        <v>5.3977528089887705E-2</v>
      </c>
      <c r="M20" s="6">
        <f>M9/M2</f>
        <v>0.10836154248822202</v>
      </c>
      <c r="N20" s="6">
        <f>N9/N2</f>
        <v>0.20392759088692775</v>
      </c>
      <c r="O20" s="6">
        <f t="shared" ref="O20:W20" si="52">O9/O2</f>
        <v>0.33334834421538767</v>
      </c>
      <c r="P20" s="6">
        <f t="shared" si="52"/>
        <v>0.48425879981648462</v>
      </c>
      <c r="Q20" s="6">
        <f t="shared" si="52"/>
        <v>0.62954214275120657</v>
      </c>
      <c r="R20" s="6">
        <f t="shared" si="52"/>
        <v>0.66725323131086822</v>
      </c>
      <c r="S20" s="6">
        <f t="shared" si="52"/>
        <v>0.69538889449561447</v>
      </c>
      <c r="T20" s="6">
        <f t="shared" si="52"/>
        <v>0.72128939100386258</v>
      </c>
      <c r="U20" s="6">
        <f t="shared" si="52"/>
        <v>0.74255099261511104</v>
      </c>
      <c r="V20" s="6">
        <f t="shared" si="52"/>
        <v>0.76000454617658364</v>
      </c>
      <c r="W20" s="6">
        <f t="shared" si="52"/>
        <v>0.77433209014495685</v>
      </c>
      <c r="Y20" s="1" t="s">
        <v>19</v>
      </c>
      <c r="Z20" s="5">
        <v>0.01</v>
      </c>
    </row>
    <row r="21" spans="1:73" x14ac:dyDescent="0.2">
      <c r="A21" s="1" t="s">
        <v>32</v>
      </c>
      <c r="B21" s="6" t="e">
        <f t="shared" ref="B21:G21" si="53">B4/B2-1</f>
        <v>#DIV/0!</v>
      </c>
      <c r="C21" s="6" t="e">
        <f t="shared" si="53"/>
        <v>#DIV/0!</v>
      </c>
      <c r="D21" s="6" t="e">
        <f t="shared" si="53"/>
        <v>#DIV/0!</v>
      </c>
      <c r="E21" s="6">
        <f t="shared" si="53"/>
        <v>0</v>
      </c>
      <c r="F21" s="6">
        <f t="shared" si="53"/>
        <v>0</v>
      </c>
      <c r="G21" s="6">
        <f t="shared" si="53"/>
        <v>0</v>
      </c>
      <c r="H21" s="6"/>
      <c r="I21" s="6"/>
      <c r="K21" s="6">
        <f>K4/K2</f>
        <v>0.78565431839647393</v>
      </c>
      <c r="L21" s="6">
        <f>L4/L2</f>
        <v>0.80624719101123599</v>
      </c>
      <c r="M21" s="6">
        <f>M4/M2</f>
        <v>0.80248124236607932</v>
      </c>
      <c r="N21" s="6">
        <f>M21*1.01</f>
        <v>0.81050605478974014</v>
      </c>
      <c r="O21" s="6">
        <f t="shared" ref="O21:R21" si="54">N21*1.01</f>
        <v>0.81861111533763753</v>
      </c>
      <c r="P21" s="6">
        <f t="shared" si="54"/>
        <v>0.82679722649101395</v>
      </c>
      <c r="Q21" s="6">
        <f t="shared" si="54"/>
        <v>0.83506519875592411</v>
      </c>
      <c r="R21" s="6">
        <f t="shared" si="54"/>
        <v>0.84341585074348335</v>
      </c>
      <c r="S21" s="6">
        <v>0.84</v>
      </c>
      <c r="T21" s="6">
        <v>0.84</v>
      </c>
      <c r="U21" s="6">
        <v>0.84</v>
      </c>
      <c r="V21" s="6">
        <v>0.84</v>
      </c>
      <c r="W21" s="6">
        <v>0.84</v>
      </c>
      <c r="Y21" s="1" t="s">
        <v>20</v>
      </c>
      <c r="Z21" s="5">
        <v>0.1</v>
      </c>
    </row>
    <row r="22" spans="1:73" x14ac:dyDescent="0.2">
      <c r="A22" s="10" t="s">
        <v>44</v>
      </c>
      <c r="B22" s="6"/>
      <c r="C22" s="6"/>
      <c r="D22" s="6"/>
      <c r="E22" s="6"/>
      <c r="F22" s="6"/>
      <c r="G22" s="6"/>
      <c r="H22" s="6"/>
      <c r="I22" s="6"/>
      <c r="K22" s="6">
        <f>K8/K2</f>
        <v>0.87018574876692201</v>
      </c>
      <c r="L22" s="6">
        <f t="shared" ref="L22:W22" si="55">L8/L2</f>
        <v>0.75226966292134834</v>
      </c>
      <c r="M22" s="6">
        <f t="shared" si="55"/>
        <v>0.69411969987785727</v>
      </c>
      <c r="N22" s="6">
        <f t="shared" si="55"/>
        <v>0.60657846390281234</v>
      </c>
      <c r="O22" s="6">
        <f t="shared" si="55"/>
        <v>0.4852627711222498</v>
      </c>
      <c r="P22" s="6">
        <f t="shared" si="55"/>
        <v>0.34253842667452933</v>
      </c>
      <c r="Q22" s="6">
        <f t="shared" si="55"/>
        <v>0.2055230560047176</v>
      </c>
      <c r="R22" s="6">
        <f t="shared" si="55"/>
        <v>0.17616261943261508</v>
      </c>
      <c r="S22" s="6">
        <f t="shared" si="55"/>
        <v>0.1446111055043855</v>
      </c>
      <c r="T22" s="6">
        <f t="shared" si="55"/>
        <v>0.11871060899613736</v>
      </c>
      <c r="U22" s="6">
        <f t="shared" si="55"/>
        <v>9.7449007384888889E-2</v>
      </c>
      <c r="V22" s="6">
        <f t="shared" si="55"/>
        <v>7.999545382341626E-2</v>
      </c>
      <c r="W22" s="6">
        <f t="shared" si="55"/>
        <v>6.5667909855043199E-2</v>
      </c>
      <c r="Y22" s="1" t="s">
        <v>21</v>
      </c>
      <c r="Z22" s="1">
        <f>NPV(Z21,N30:BZ30)+Sheet1!D5-Sheet1!D6</f>
        <v>570306.50531170191</v>
      </c>
    </row>
    <row r="23" spans="1:73" x14ac:dyDescent="0.2">
      <c r="Y23" s="1" t="s">
        <v>1</v>
      </c>
      <c r="Z23" s="9">
        <f>Z22/Sheet1!D3</f>
        <v>241.66451488052593</v>
      </c>
    </row>
    <row r="24" spans="1:73" x14ac:dyDescent="0.2">
      <c r="A24" s="1" t="s">
        <v>13</v>
      </c>
      <c r="B24" s="1" t="e">
        <f>B20+B18</f>
        <v>#REF!</v>
      </c>
      <c r="K24" s="6">
        <f t="shared" ref="K24:N24" si="56">K20+K18</f>
        <v>-8.4531430370448066E-2</v>
      </c>
      <c r="L24" s="6">
        <f t="shared" si="56"/>
        <v>0.2214662467382244</v>
      </c>
      <c r="M24" s="6">
        <f t="shared" si="56"/>
        <v>0.39622671102754792</v>
      </c>
      <c r="N24" s="6">
        <f t="shared" si="56"/>
        <v>0.5771112586586955</v>
      </c>
      <c r="O24" s="6">
        <f t="shared" ref="O24:W24" si="57">O20+O18</f>
        <v>0.83334834421538773</v>
      </c>
      <c r="P24" s="6">
        <f t="shared" si="57"/>
        <v>1.1842587998164844</v>
      </c>
      <c r="Q24" s="6">
        <f t="shared" si="57"/>
        <v>1.6295421427512067</v>
      </c>
      <c r="R24" s="6">
        <f t="shared" si="57"/>
        <v>1.0672532313108682</v>
      </c>
      <c r="S24" s="6">
        <f t="shared" si="57"/>
        <v>1.0353888944956147</v>
      </c>
      <c r="T24" s="6">
        <f t="shared" si="57"/>
        <v>1.0612893910038625</v>
      </c>
      <c r="U24" s="6">
        <f t="shared" si="57"/>
        <v>1.0825509926151109</v>
      </c>
      <c r="V24" s="6">
        <f t="shared" si="57"/>
        <v>1.1000045461765837</v>
      </c>
      <c r="W24" s="6">
        <f t="shared" si="57"/>
        <v>1.1143320901449569</v>
      </c>
      <c r="Y24" s="1" t="s">
        <v>22</v>
      </c>
      <c r="Z24" s="6">
        <f>Z23/Sheet1!D2-1</f>
        <v>1.0307942426934953</v>
      </c>
    </row>
    <row r="25" spans="1:73" x14ac:dyDescent="0.2">
      <c r="A25" s="1" t="s">
        <v>33</v>
      </c>
      <c r="K25" s="6">
        <f>K13/K12</f>
        <v>-2.7716186252771627E-2</v>
      </c>
      <c r="L25" s="6">
        <f>L13/L12</f>
        <v>8.3052276559865038E-2</v>
      </c>
      <c r="M25" s="6">
        <f>M13/M12</f>
        <v>4.3326316649976479E-2</v>
      </c>
      <c r="N25" s="6">
        <v>0.08</v>
      </c>
      <c r="O25" s="6">
        <v>0.08</v>
      </c>
      <c r="P25" s="6">
        <v>0.08</v>
      </c>
      <c r="Q25" s="6">
        <v>0.19</v>
      </c>
      <c r="R25" s="6">
        <v>0.19</v>
      </c>
      <c r="S25" s="6">
        <v>0.19</v>
      </c>
      <c r="T25" s="6">
        <v>0.19</v>
      </c>
      <c r="U25" s="6">
        <v>0.19</v>
      </c>
      <c r="V25" s="6">
        <v>0.19</v>
      </c>
      <c r="W25" s="6">
        <v>0.19</v>
      </c>
    </row>
    <row r="26" spans="1:73" x14ac:dyDescent="0.2">
      <c r="A26" s="1" t="s">
        <v>34</v>
      </c>
      <c r="K26" s="6">
        <f>K30/K2</f>
        <v>-6.1339070206737345E-2</v>
      </c>
      <c r="L26" s="6">
        <f>L30/L2</f>
        <v>-0.8984269662921347</v>
      </c>
      <c r="M26" s="6">
        <f>M30/M2</f>
        <v>0.38680858488919906</v>
      </c>
      <c r="N26" s="6">
        <f>N30/N2</f>
        <v>0.40662206395361983</v>
      </c>
      <c r="O26" s="6">
        <f>N26*1.1</f>
        <v>0.44728427034898183</v>
      </c>
      <c r="P26" s="6">
        <f t="shared" ref="P26:U26" si="58">O26*1.1</f>
        <v>0.49201269738388004</v>
      </c>
      <c r="Q26" s="6">
        <f t="shared" si="58"/>
        <v>0.5412139671222681</v>
      </c>
      <c r="R26" s="6">
        <f t="shared" si="58"/>
        <v>0.59533536383449492</v>
      </c>
      <c r="S26" s="6">
        <f t="shared" si="58"/>
        <v>0.65486890021794442</v>
      </c>
      <c r="T26" s="6">
        <f t="shared" si="58"/>
        <v>0.72035579023973895</v>
      </c>
      <c r="U26" s="6">
        <f t="shared" si="58"/>
        <v>0.7923913692637129</v>
      </c>
      <c r="V26" s="6">
        <v>0.8</v>
      </c>
      <c r="W26" s="6">
        <v>0.8</v>
      </c>
    </row>
    <row r="27" spans="1:73" x14ac:dyDescent="0.2">
      <c r="M27" s="6"/>
    </row>
    <row r="28" spans="1:73" x14ac:dyDescent="0.2">
      <c r="A28" s="1" t="s">
        <v>16</v>
      </c>
      <c r="K28" s="1">
        <v>223.7</v>
      </c>
      <c r="L28" s="1">
        <v>712.2</v>
      </c>
      <c r="M28" s="1">
        <v>1153.8</v>
      </c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73" x14ac:dyDescent="0.2">
      <c r="A29" s="1" t="s">
        <v>17</v>
      </c>
      <c r="K29" s="1">
        <v>340.6</v>
      </c>
      <c r="L29" s="1">
        <v>2711.2</v>
      </c>
      <c r="M29" s="1">
        <v>45.4</v>
      </c>
    </row>
    <row r="30" spans="1:73" s="3" customFormat="1" ht="15" x14ac:dyDescent="0.25">
      <c r="A30" s="3" t="s">
        <v>15</v>
      </c>
      <c r="E30" s="3">
        <v>517</v>
      </c>
      <c r="K30" s="3">
        <f>K28-K29</f>
        <v>-116.90000000000003</v>
      </c>
      <c r="L30" s="3">
        <f t="shared" ref="L30:M30" si="59">L28-L29</f>
        <v>-1998.9999999999998</v>
      </c>
      <c r="M30" s="3">
        <f t="shared" si="59"/>
        <v>1108.3999999999999</v>
      </c>
      <c r="N30" s="3">
        <v>1600</v>
      </c>
      <c r="O30" s="3">
        <f>O26*O2</f>
        <v>2640</v>
      </c>
      <c r="P30" s="3">
        <f t="shared" ref="P30:W30" si="60">P26*P2</f>
        <v>4936.8</v>
      </c>
      <c r="Q30" s="3">
        <f t="shared" si="60"/>
        <v>10860.960000000001</v>
      </c>
      <c r="R30" s="3">
        <f t="shared" si="60"/>
        <v>16725.878400000001</v>
      </c>
      <c r="S30" s="3">
        <f t="shared" si="60"/>
        <v>24653.944761600003</v>
      </c>
      <c r="T30" s="3">
        <f t="shared" si="60"/>
        <v>36339.914578598415</v>
      </c>
      <c r="U30" s="3">
        <f t="shared" si="60"/>
        <v>53565.03408885406</v>
      </c>
      <c r="V30" s="3">
        <f t="shared" si="60"/>
        <v>72466.357876421098</v>
      </c>
      <c r="W30" s="3">
        <f t="shared" si="60"/>
        <v>97104.919554404274</v>
      </c>
      <c r="X30" s="3">
        <f>W30*(1+$Z$20)</f>
        <v>98075.968749948312</v>
      </c>
      <c r="Y30" s="3">
        <f>X30*(1+$Z$20)</f>
        <v>99056.728437447789</v>
      </c>
      <c r="Z30" s="3">
        <f>Y30*(1+$Z$20)</f>
        <v>100047.29572182227</v>
      </c>
      <c r="AA30" s="3">
        <f>Z30*(1+$Z$20)</f>
        <v>101047.7686790405</v>
      </c>
      <c r="AB30" s="3">
        <f>AA30*(1+$Z$20)</f>
        <v>102058.2463658309</v>
      </c>
      <c r="AC30" s="3">
        <f>AB30*(1+$Z$20)</f>
        <v>103078.82882948921</v>
      </c>
      <c r="AD30" s="3">
        <f>AC30*(1+$Z$20)</f>
        <v>104109.6171177841</v>
      </c>
      <c r="AE30" s="3">
        <f>AD30*(1+$Z$20)</f>
        <v>105150.71328896194</v>
      </c>
      <c r="AF30" s="3">
        <f>AE30*(1+$Z$20)</f>
        <v>106202.22042185155</v>
      </c>
      <c r="AG30" s="3">
        <f>AF30*(1+$Z$20)</f>
        <v>107264.24262607007</v>
      </c>
      <c r="AH30" s="3">
        <f>AG30*(1+$Z$20)</f>
        <v>108336.88505233078</v>
      </c>
      <c r="AI30" s="3">
        <f>AH30*(1+$Z$20)</f>
        <v>109420.25390285409</v>
      </c>
      <c r="AJ30" s="3">
        <f>AI30*(1+$Z$20)</f>
        <v>110514.45644188263</v>
      </c>
      <c r="AK30" s="3">
        <f>AJ30*(1+$Z$20)</f>
        <v>111619.60100630145</v>
      </c>
      <c r="AL30" s="3">
        <f>AK30*(1+$Z$20)</f>
        <v>112735.79701636446</v>
      </c>
      <c r="AM30" s="3">
        <f>AL30*(1+$Z$20)</f>
        <v>113863.15498652811</v>
      </c>
      <c r="AN30" s="3">
        <f>AM30*(1+$Z$20)</f>
        <v>115001.7865363934</v>
      </c>
      <c r="AO30" s="3">
        <f>AN30*(1+$Z$20)</f>
        <v>116151.80440175733</v>
      </c>
      <c r="AP30" s="3">
        <f>AO30*(1+$Z$20)</f>
        <v>117313.3224457749</v>
      </c>
      <c r="AQ30" s="3">
        <f>AP30*(1+$Z$20)</f>
        <v>118486.45567023265</v>
      </c>
      <c r="AR30" s="3">
        <f>AQ30*(1+$Z$20)</f>
        <v>119671.32022693499</v>
      </c>
      <c r="AS30" s="3">
        <f>AR30*(1+$Z$20)</f>
        <v>120868.03342920434</v>
      </c>
      <c r="AT30" s="3">
        <f>AS30*(1+$Z$20)</f>
        <v>122076.71376349639</v>
      </c>
      <c r="AU30" s="3">
        <f>AT30*(1+$Z$20)</f>
        <v>123297.48090113135</v>
      </c>
      <c r="AV30" s="3">
        <f>AU30*(1+$Z$20)</f>
        <v>124530.45571014266</v>
      </c>
      <c r="AW30" s="3">
        <f>AV30*(1+$Z$20)</f>
        <v>125775.76026724408</v>
      </c>
      <c r="AX30" s="3">
        <f>AW30*(1+$Z$20)</f>
        <v>127033.51786991653</v>
      </c>
      <c r="AY30" s="3">
        <f>AX30*(1+$Z$20)</f>
        <v>128303.8530486157</v>
      </c>
      <c r="AZ30" s="3">
        <f>AY30*(1+$Z$20)</f>
        <v>129586.89157910185</v>
      </c>
      <c r="BA30" s="3">
        <f>AZ30*(1+$Z$20)</f>
        <v>130882.76049489288</v>
      </c>
      <c r="BB30" s="3">
        <f>BA30*(1+$Z$20)</f>
        <v>132191.58809984181</v>
      </c>
      <c r="BC30" s="3">
        <f>BB30*(1+$Z$20)</f>
        <v>133513.50398084024</v>
      </c>
      <c r="BD30" s="3">
        <f>BC30*(1+$Z$20)</f>
        <v>134848.63902064864</v>
      </c>
      <c r="BE30" s="3">
        <f>BD30*(1+$Z$20)</f>
        <v>136197.12541085514</v>
      </c>
      <c r="BF30" s="3">
        <f>BE30*(1+$Z$20)</f>
        <v>137559.0966649637</v>
      </c>
      <c r="BG30" s="3">
        <f>BF30*(1+$Z$20)</f>
        <v>138934.68763161334</v>
      </c>
      <c r="BH30" s="3">
        <f>BG30*(1+$Z$20)</f>
        <v>140324.03450792946</v>
      </c>
      <c r="BI30" s="3">
        <f>BH30*(1+$Z$20)</f>
        <v>141727.27485300877</v>
      </c>
      <c r="BJ30" s="3">
        <f>BI30*(1+$Z$20)</f>
        <v>143144.54760153886</v>
      </c>
      <c r="BK30" s="3">
        <f>BJ30*(1+$Z$20)</f>
        <v>144575.99307755425</v>
      </c>
      <c r="BL30" s="3">
        <f>BK30*(1+$Z$20)</f>
        <v>146021.75300832978</v>
      </c>
      <c r="BM30" s="3">
        <f>BL30*(1+$Z$20)</f>
        <v>147481.97053841306</v>
      </c>
      <c r="BN30" s="3">
        <f>BM30*(1+$Z$20)</f>
        <v>148956.79024379721</v>
      </c>
      <c r="BO30" s="3">
        <f>BN30*(1+$Z$20)</f>
        <v>150446.35814623517</v>
      </c>
      <c r="BP30" s="3">
        <f>BO30*(1+$Z$20)</f>
        <v>151950.82172769753</v>
      </c>
      <c r="BQ30" s="3">
        <f>BP30*(1+$Z$20)</f>
        <v>153470.32994497451</v>
      </c>
      <c r="BR30" s="3">
        <f>BQ30*(1+$Z$20)</f>
        <v>155005.03324442427</v>
      </c>
      <c r="BS30" s="3">
        <f>BR30*(1+$Z$20)</f>
        <v>156555.08357686852</v>
      </c>
      <c r="BT30" s="3">
        <f>BS30*(1+$Z$20)</f>
        <v>158120.63441263721</v>
      </c>
      <c r="BU30" s="3">
        <f>BT30*(1+$Z$20)</f>
        <v>159701.84075676359</v>
      </c>
    </row>
    <row r="31" spans="1:73" x14ac:dyDescent="0.2"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73" x14ac:dyDescent="0.2"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1" t="s">
        <v>37</v>
      </c>
      <c r="F33" s="1">
        <f>F35-F37</f>
        <v>0</v>
      </c>
      <c r="M33" s="1">
        <f>M35-M37</f>
        <v>4978.8999999999996</v>
      </c>
      <c r="N33" s="1">
        <f>M33+N14</f>
        <v>5975.2416659057053</v>
      </c>
      <c r="O33" s="1">
        <f t="shared" ref="O33:R33" si="61">N33+O14</f>
        <v>8098.2982485108441</v>
      </c>
      <c r="P33" s="1">
        <f t="shared" si="61"/>
        <v>12998.540931045789</v>
      </c>
      <c r="Q33" s="1">
        <f t="shared" si="61"/>
        <v>23848.241061381173</v>
      </c>
      <c r="R33" s="1">
        <f t="shared" si="61"/>
        <v>40176.52795160887</v>
      </c>
      <c r="S33" s="1">
        <f t="shared" ref="S33:W33" si="62">R33+S14</f>
        <v>63318.949820126611</v>
      </c>
      <c r="T33" s="1">
        <f t="shared" si="62"/>
        <v>95854.098848693757</v>
      </c>
      <c r="U33" s="1">
        <f t="shared" si="62"/>
        <v>141155.46966390699</v>
      </c>
      <c r="V33" s="1">
        <f t="shared" si="62"/>
        <v>203762.87550712319</v>
      </c>
      <c r="W33" s="1">
        <f t="shared" si="62"/>
        <v>289780.99437962461</v>
      </c>
    </row>
    <row r="35" spans="1:23" x14ac:dyDescent="0.2">
      <c r="A35" s="1" t="s">
        <v>4</v>
      </c>
      <c r="M35" s="1">
        <f>2098+3131</f>
        <v>5229</v>
      </c>
    </row>
    <row r="37" spans="1:23" x14ac:dyDescent="0.2">
      <c r="A37" s="1" t="s">
        <v>5</v>
      </c>
      <c r="M37" s="1">
        <f>39.8+1.5+195.2+13.6</f>
        <v>250.1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2025-03-17T23:13:16Z</dcterms:created>
  <dcterms:modified xsi:type="dcterms:W3CDTF">2025-05-31T02:19:37Z</dcterms:modified>
</cp:coreProperties>
</file>