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04F2C1B9-CF9B-4E89-83B9-219CEC15CA66}" xr6:coauthVersionLast="47" xr6:coauthVersionMax="47" xr10:uidLastSave="{00000000-0000-0000-0000-000000000000}"/>
  <bookViews>
    <workbookView xWindow="390" yWindow="390" windowWidth="19425" windowHeight="14595" activeTab="1" xr2:uid="{DF0DB4ED-CAE9-4E97-ABC6-569A6BB0DC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9" i="2" l="1"/>
  <c r="W59" i="2"/>
  <c r="W39" i="2"/>
  <c r="X39" i="2" s="1"/>
  <c r="Y39" i="2" s="1"/>
  <c r="Z39" i="2" s="1"/>
  <c r="V31" i="2"/>
  <c r="U31" i="2"/>
  <c r="Q60" i="2"/>
  <c r="P60" i="2"/>
  <c r="V40" i="2"/>
  <c r="V41" i="2" s="1"/>
  <c r="V36" i="2"/>
  <c r="V37" i="2" s="1"/>
  <c r="V32" i="2" s="1"/>
  <c r="U36" i="2"/>
  <c r="U37" i="2" s="1"/>
  <c r="U32" i="2" s="1"/>
  <c r="T63" i="2"/>
  <c r="S63" i="2"/>
  <c r="I63" i="2"/>
  <c r="T77" i="2"/>
  <c r="S77" i="2"/>
  <c r="W20" i="2"/>
  <c r="X20" i="2" s="1"/>
  <c r="Y20" i="2" s="1"/>
  <c r="Z20" i="2" s="1"/>
  <c r="W98" i="2"/>
  <c r="X98" i="2" s="1"/>
  <c r="Y98" i="2" s="1"/>
  <c r="Z98" i="2" s="1"/>
  <c r="W95" i="2"/>
  <c r="X95" i="2" s="1"/>
  <c r="Y95" i="2" s="1"/>
  <c r="Z95" i="2" s="1"/>
  <c r="G107" i="2"/>
  <c r="H107" i="2"/>
  <c r="U106" i="2"/>
  <c r="U105" i="2"/>
  <c r="U104" i="2"/>
  <c r="W96" i="2"/>
  <c r="X96" i="2" s="1"/>
  <c r="Y96" i="2" s="1"/>
  <c r="Z96" i="2" s="1"/>
  <c r="W97" i="2"/>
  <c r="X97" i="2" s="1"/>
  <c r="Y97" i="2" s="1"/>
  <c r="Z97" i="2" s="1"/>
  <c r="V8" i="2"/>
  <c r="V7" i="2"/>
  <c r="S24" i="2"/>
  <c r="D41" i="2"/>
  <c r="E41" i="2"/>
  <c r="F41" i="2"/>
  <c r="D45" i="2"/>
  <c r="E45" i="2"/>
  <c r="F45" i="2"/>
  <c r="C45" i="2"/>
  <c r="C41" i="2"/>
  <c r="K39" i="2"/>
  <c r="L39" i="2" s="1"/>
  <c r="M39" i="2" s="1"/>
  <c r="N39" i="2" s="1"/>
  <c r="J23" i="2"/>
  <c r="T24" i="2"/>
  <c r="I24" i="2"/>
  <c r="W17" i="2"/>
  <c r="X17" i="2" s="1"/>
  <c r="Y17" i="2" s="1"/>
  <c r="Z17" i="2" s="1"/>
  <c r="W18" i="2"/>
  <c r="X18" i="2" s="1"/>
  <c r="Y18" i="2" s="1"/>
  <c r="Z18" i="2" s="1"/>
  <c r="W19" i="2"/>
  <c r="X19" i="2" s="1"/>
  <c r="Y19" i="2" s="1"/>
  <c r="Z19" i="2" s="1"/>
  <c r="W21" i="2"/>
  <c r="X21" i="2" s="1"/>
  <c r="Y21" i="2" s="1"/>
  <c r="Z21" i="2" s="1"/>
  <c r="V16" i="2"/>
  <c r="S22" i="2"/>
  <c r="T22" i="2"/>
  <c r="Z40" i="2" l="1"/>
  <c r="Z41" i="2" s="1"/>
  <c r="Y55" i="2"/>
  <c r="Z55" i="2"/>
  <c r="X55" i="2"/>
  <c r="W40" i="2"/>
  <c r="W41" i="2" s="1"/>
  <c r="Y40" i="2"/>
  <c r="Y41" i="2" s="1"/>
  <c r="W55" i="2"/>
  <c r="X40" i="2"/>
  <c r="X41" i="2" s="1"/>
  <c r="V22" i="2"/>
  <c r="V24" i="2"/>
  <c r="C46" i="2"/>
  <c r="C49" i="2" s="1"/>
  <c r="C51" i="2" s="1"/>
  <c r="C52" i="2" s="1"/>
  <c r="F46" i="2"/>
  <c r="F49" i="2" s="1"/>
  <c r="F51" i="2" s="1"/>
  <c r="F52" i="2" s="1"/>
  <c r="E46" i="2"/>
  <c r="E49" i="2" s="1"/>
  <c r="E51" i="2" s="1"/>
  <c r="E52" i="2" s="1"/>
  <c r="D46" i="2"/>
  <c r="D49" i="2" s="1"/>
  <c r="D51" i="2" s="1"/>
  <c r="D52" i="2" s="1"/>
  <c r="W16" i="2"/>
  <c r="Z16" i="2"/>
  <c r="Y16" i="2"/>
  <c r="X16" i="2"/>
  <c r="U53" i="2"/>
  <c r="U74" i="2"/>
  <c r="U75" i="2"/>
  <c r="U76" i="2"/>
  <c r="U77" i="2"/>
  <c r="U78" i="2"/>
  <c r="U79" i="2"/>
  <c r="U80" i="2"/>
  <c r="U73" i="2"/>
  <c r="U65" i="2"/>
  <c r="U66" i="2"/>
  <c r="U67" i="2"/>
  <c r="U68" i="2"/>
  <c r="U69" i="2"/>
  <c r="U70" i="2"/>
  <c r="U64" i="2"/>
  <c r="U47" i="2"/>
  <c r="D61" i="2"/>
  <c r="E61" i="2"/>
  <c r="F61" i="2"/>
  <c r="C61" i="2"/>
  <c r="I60" i="2"/>
  <c r="I56" i="2"/>
  <c r="F17" i="1"/>
  <c r="F15" i="1"/>
  <c r="E29" i="2"/>
  <c r="H29" i="2"/>
  <c r="E107" i="2"/>
  <c r="F107" i="2"/>
  <c r="I107" i="2"/>
  <c r="K107" i="2"/>
  <c r="L107" i="2"/>
  <c r="M107" i="2"/>
  <c r="N107" i="2"/>
  <c r="D103" i="2"/>
  <c r="E103" i="2"/>
  <c r="F103" i="2"/>
  <c r="G103" i="2"/>
  <c r="H103" i="2"/>
  <c r="C103" i="2"/>
  <c r="I103" i="2"/>
  <c r="D85" i="2"/>
  <c r="E85" i="2"/>
  <c r="F85" i="2"/>
  <c r="G85" i="2"/>
  <c r="H85" i="2"/>
  <c r="I85" i="2"/>
  <c r="J85" i="2"/>
  <c r="C85" i="2"/>
  <c r="S107" i="2"/>
  <c r="T107" i="2"/>
  <c r="R107" i="2"/>
  <c r="S103" i="2"/>
  <c r="T103" i="2"/>
  <c r="R103" i="2"/>
  <c r="Q85" i="2"/>
  <c r="R85" i="2"/>
  <c r="P85" i="2"/>
  <c r="T85" i="2"/>
  <c r="S85" i="2"/>
  <c r="Q71" i="2"/>
  <c r="R71" i="2"/>
  <c r="S71" i="2"/>
  <c r="T71" i="2"/>
  <c r="V71" i="2"/>
  <c r="W71" i="2"/>
  <c r="X71" i="2"/>
  <c r="Y71" i="2"/>
  <c r="Z71" i="2"/>
  <c r="Q81" i="2"/>
  <c r="R81" i="2"/>
  <c r="S81" i="2"/>
  <c r="T81" i="2"/>
  <c r="V81" i="2"/>
  <c r="W81" i="2"/>
  <c r="X81" i="2"/>
  <c r="Y81" i="2"/>
  <c r="Z81" i="2"/>
  <c r="P81" i="2"/>
  <c r="P71" i="2"/>
  <c r="D71" i="2"/>
  <c r="E71" i="2"/>
  <c r="F71" i="2"/>
  <c r="G71" i="2"/>
  <c r="H71" i="2"/>
  <c r="I71" i="2"/>
  <c r="J71" i="2"/>
  <c r="K71" i="2"/>
  <c r="L71" i="2"/>
  <c r="M71" i="2"/>
  <c r="N71" i="2"/>
  <c r="D81" i="2"/>
  <c r="E81" i="2"/>
  <c r="F81" i="2"/>
  <c r="G81" i="2"/>
  <c r="H81" i="2"/>
  <c r="I81" i="2"/>
  <c r="J81" i="2"/>
  <c r="K81" i="2"/>
  <c r="L81" i="2"/>
  <c r="M81" i="2"/>
  <c r="N81" i="2"/>
  <c r="C71" i="2"/>
  <c r="C81" i="2"/>
  <c r="U39" i="2"/>
  <c r="V55" i="2" s="1"/>
  <c r="J40" i="2"/>
  <c r="U40" i="2" s="1"/>
  <c r="Q41" i="2"/>
  <c r="R41" i="2"/>
  <c r="Q45" i="2"/>
  <c r="Q61" i="2" s="1"/>
  <c r="R45" i="2"/>
  <c r="R61" i="2" s="1"/>
  <c r="P45" i="2"/>
  <c r="P61" i="2" s="1"/>
  <c r="P41" i="2"/>
  <c r="P59" i="2" s="1"/>
  <c r="R55" i="2"/>
  <c r="S55" i="2"/>
  <c r="Q55" i="2"/>
  <c r="C60" i="2"/>
  <c r="D60" i="2"/>
  <c r="E60" i="2"/>
  <c r="F60" i="2"/>
  <c r="C59" i="2"/>
  <c r="D59" i="2"/>
  <c r="E59" i="2"/>
  <c r="F59" i="2"/>
  <c r="D56" i="2"/>
  <c r="E56" i="2"/>
  <c r="F56" i="2"/>
  <c r="G56" i="2"/>
  <c r="G55" i="2"/>
  <c r="H55" i="2"/>
  <c r="I55" i="2"/>
  <c r="J55" i="2"/>
  <c r="H56" i="2"/>
  <c r="T55" i="2"/>
  <c r="S45" i="2"/>
  <c r="S61" i="2" s="1"/>
  <c r="S41" i="2"/>
  <c r="S59" i="2" s="1"/>
  <c r="T41" i="2"/>
  <c r="T59" i="2" s="1"/>
  <c r="T45" i="2"/>
  <c r="T61" i="2" s="1"/>
  <c r="G60" i="2"/>
  <c r="G45" i="2"/>
  <c r="G61" i="2" s="1"/>
  <c r="G41" i="2"/>
  <c r="G59" i="2" s="1"/>
  <c r="H60" i="2"/>
  <c r="H45" i="2"/>
  <c r="H61" i="2" s="1"/>
  <c r="H41" i="2"/>
  <c r="H59" i="2" s="1"/>
  <c r="U1" i="2"/>
  <c r="V1" i="2" s="1"/>
  <c r="W1" i="2" s="1"/>
  <c r="X1" i="2" s="1"/>
  <c r="Y1" i="2" s="1"/>
  <c r="Z1" i="2" s="1"/>
  <c r="AA1" i="2" s="1"/>
  <c r="AB1" i="2" s="1"/>
  <c r="AC1" i="2" s="1"/>
  <c r="AD1" i="2" s="1"/>
  <c r="AE1" i="2" s="1"/>
  <c r="U41" i="2" l="1"/>
  <c r="U24" i="2"/>
  <c r="C57" i="2"/>
  <c r="F57" i="2"/>
  <c r="D57" i="2"/>
  <c r="C87" i="2"/>
  <c r="F87" i="2"/>
  <c r="D87" i="2"/>
  <c r="E87" i="2"/>
  <c r="E57" i="2"/>
  <c r="L85" i="2"/>
  <c r="U22" i="2"/>
  <c r="F18" i="1"/>
  <c r="F108" i="2"/>
  <c r="E108" i="2"/>
  <c r="D108" i="2"/>
  <c r="P82" i="2"/>
  <c r="P83" i="2" s="1"/>
  <c r="U81" i="2"/>
  <c r="U71" i="2"/>
  <c r="U59" i="2"/>
  <c r="U85" i="2"/>
  <c r="G108" i="2"/>
  <c r="H108" i="2"/>
  <c r="N82" i="2"/>
  <c r="N83" i="2" s="1"/>
  <c r="M82" i="2"/>
  <c r="M83" i="2" s="1"/>
  <c r="I108" i="2"/>
  <c r="C108" i="2"/>
  <c r="L82" i="2"/>
  <c r="L83" i="2" s="1"/>
  <c r="Z82" i="2"/>
  <c r="Z83" i="2" s="1"/>
  <c r="K85" i="2"/>
  <c r="K82" i="2"/>
  <c r="K83" i="2" s="1"/>
  <c r="Y82" i="2"/>
  <c r="Y83" i="2" s="1"/>
  <c r="Q82" i="2"/>
  <c r="Q83" i="2" s="1"/>
  <c r="S108" i="2"/>
  <c r="S60" i="2" s="1"/>
  <c r="J82" i="2"/>
  <c r="J83" i="2" s="1"/>
  <c r="X82" i="2"/>
  <c r="X83" i="2" s="1"/>
  <c r="R108" i="2"/>
  <c r="R60" i="2" s="1"/>
  <c r="T108" i="2"/>
  <c r="T60" i="2" s="1"/>
  <c r="W82" i="2"/>
  <c r="W83" i="2" s="1"/>
  <c r="I82" i="2"/>
  <c r="I83" i="2" s="1"/>
  <c r="E82" i="2"/>
  <c r="E83" i="2" s="1"/>
  <c r="R82" i="2"/>
  <c r="R83" i="2" s="1"/>
  <c r="C82" i="2"/>
  <c r="C83" i="2" s="1"/>
  <c r="T82" i="2"/>
  <c r="T83" i="2" s="1"/>
  <c r="S82" i="2"/>
  <c r="S83" i="2" s="1"/>
  <c r="V82" i="2"/>
  <c r="V83" i="2" s="1"/>
  <c r="H82" i="2"/>
  <c r="H83" i="2" s="1"/>
  <c r="G82" i="2"/>
  <c r="G83" i="2" s="1"/>
  <c r="F82" i="2"/>
  <c r="F83" i="2" s="1"/>
  <c r="D82" i="2"/>
  <c r="D83" i="2" s="1"/>
  <c r="L40" i="2"/>
  <c r="R46" i="2"/>
  <c r="R49" i="2" s="1"/>
  <c r="R51" i="2" s="1"/>
  <c r="Q46" i="2"/>
  <c r="Q49" i="2" s="1"/>
  <c r="Q51" i="2" s="1"/>
  <c r="Q59" i="2"/>
  <c r="R59" i="2"/>
  <c r="K40" i="2"/>
  <c r="P46" i="2"/>
  <c r="S46" i="2"/>
  <c r="G46" i="2"/>
  <c r="T46" i="2"/>
  <c r="H46" i="2"/>
  <c r="U82" i="2" l="1"/>
  <c r="U83" i="2" s="1"/>
  <c r="M85" i="2"/>
  <c r="O39" i="2"/>
  <c r="Q57" i="2"/>
  <c r="R57" i="2"/>
  <c r="V85" i="2"/>
  <c r="R87" i="2"/>
  <c r="M40" i="2"/>
  <c r="M41" i="2" s="1"/>
  <c r="M55" i="2"/>
  <c r="M56" i="2"/>
  <c r="N85" i="2"/>
  <c r="Q52" i="2"/>
  <c r="R52" i="2"/>
  <c r="P49" i="2"/>
  <c r="P51" i="2" s="1"/>
  <c r="P52" i="2" s="1"/>
  <c r="P57" i="2"/>
  <c r="I41" i="2"/>
  <c r="I59" i="2" s="1"/>
  <c r="H49" i="2"/>
  <c r="H51" i="2" s="1"/>
  <c r="H87" i="2" s="1"/>
  <c r="H57" i="2"/>
  <c r="G49" i="2"/>
  <c r="G51" i="2" s="1"/>
  <c r="G57" i="2"/>
  <c r="S49" i="2"/>
  <c r="S51" i="2" s="1"/>
  <c r="S57" i="2"/>
  <c r="J56" i="2"/>
  <c r="T49" i="2"/>
  <c r="T51" i="2" s="1"/>
  <c r="T87" i="2" s="1"/>
  <c r="T57" i="2"/>
  <c r="J42" i="2" l="1"/>
  <c r="U42" i="2" s="1"/>
  <c r="V42" i="2" s="1"/>
  <c r="J94" i="2"/>
  <c r="U94" i="2" s="1"/>
  <c r="V94" i="2" s="1"/>
  <c r="J93" i="2"/>
  <c r="U93" i="2" s="1"/>
  <c r="V93" i="2" s="1"/>
  <c r="W93" i="2" s="1"/>
  <c r="X93" i="2" s="1"/>
  <c r="Y93" i="2" s="1"/>
  <c r="Z93" i="2" s="1"/>
  <c r="J100" i="2"/>
  <c r="U100" i="2" s="1"/>
  <c r="W100" i="2" s="1"/>
  <c r="X100" i="2" s="1"/>
  <c r="Y100" i="2" s="1"/>
  <c r="Z100" i="2" s="1"/>
  <c r="J97" i="2"/>
  <c r="U97" i="2" s="1"/>
  <c r="J92" i="2"/>
  <c r="U92" i="2" s="1"/>
  <c r="V92" i="2" s="1"/>
  <c r="W92" i="2" s="1"/>
  <c r="X92" i="2" s="1"/>
  <c r="Y92" i="2" s="1"/>
  <c r="Z92" i="2" s="1"/>
  <c r="J89" i="2"/>
  <c r="U89" i="2" s="1"/>
  <c r="V89" i="2" s="1"/>
  <c r="W89" i="2" s="1"/>
  <c r="X89" i="2" s="1"/>
  <c r="Y89" i="2" s="1"/>
  <c r="Z89" i="2" s="1"/>
  <c r="J102" i="2"/>
  <c r="U102" i="2" s="1"/>
  <c r="V102" i="2" s="1"/>
  <c r="W102" i="2" s="1"/>
  <c r="X102" i="2" s="1"/>
  <c r="Y102" i="2" s="1"/>
  <c r="Z102" i="2" s="1"/>
  <c r="J101" i="2"/>
  <c r="U101" i="2" s="1"/>
  <c r="W101" i="2" s="1"/>
  <c r="X101" i="2" s="1"/>
  <c r="Y101" i="2" s="1"/>
  <c r="Z101" i="2" s="1"/>
  <c r="J98" i="2"/>
  <c r="U98" i="2" s="1"/>
  <c r="J96" i="2"/>
  <c r="U96" i="2" s="1"/>
  <c r="J91" i="2"/>
  <c r="U91" i="2" s="1"/>
  <c r="V91" i="2" s="1"/>
  <c r="W91" i="2" s="1"/>
  <c r="X91" i="2" s="1"/>
  <c r="Y91" i="2" s="1"/>
  <c r="Z91" i="2" s="1"/>
  <c r="J90" i="2"/>
  <c r="U90" i="2" s="1"/>
  <c r="V90" i="2" s="1"/>
  <c r="W90" i="2" s="1"/>
  <c r="X90" i="2" s="1"/>
  <c r="Y90" i="2" s="1"/>
  <c r="Z90" i="2" s="1"/>
  <c r="J99" i="2"/>
  <c r="U99" i="2" s="1"/>
  <c r="V99" i="2" s="1"/>
  <c r="W99" i="2" s="1"/>
  <c r="X99" i="2" s="1"/>
  <c r="Y99" i="2" s="1"/>
  <c r="Z99" i="2" s="1"/>
  <c r="J95" i="2"/>
  <c r="U95" i="2" s="1"/>
  <c r="K42" i="2"/>
  <c r="L42" i="2" s="1"/>
  <c r="M42" i="2" s="1"/>
  <c r="N42" i="2" s="1"/>
  <c r="G52" i="2"/>
  <c r="G87" i="2"/>
  <c r="S52" i="2"/>
  <c r="S87" i="2"/>
  <c r="N40" i="2"/>
  <c r="N41" i="2" s="1"/>
  <c r="N55" i="2"/>
  <c r="N56" i="2"/>
  <c r="H52" i="2"/>
  <c r="J44" i="2"/>
  <c r="U44" i="2" s="1"/>
  <c r="J41" i="2"/>
  <c r="I45" i="2"/>
  <c r="J43" i="2"/>
  <c r="U43" i="2" s="1"/>
  <c r="T52" i="2"/>
  <c r="K55" i="2"/>
  <c r="K56" i="2"/>
  <c r="W42" i="2" l="1"/>
  <c r="I46" i="2"/>
  <c r="I57" i="2" s="1"/>
  <c r="I61" i="2"/>
  <c r="U45" i="2"/>
  <c r="U55" i="2"/>
  <c r="K43" i="2"/>
  <c r="J45" i="2"/>
  <c r="J61" i="2" s="1"/>
  <c r="K41" i="2"/>
  <c r="K44" i="2"/>
  <c r="L55" i="2"/>
  <c r="L56" i="2"/>
  <c r="X42" i="2" l="1"/>
  <c r="V104" i="2"/>
  <c r="U107" i="2"/>
  <c r="J46" i="2"/>
  <c r="I49" i="2"/>
  <c r="I51" i="2" s="1"/>
  <c r="I52" i="2" s="1"/>
  <c r="U61" i="2"/>
  <c r="U46" i="2"/>
  <c r="V44" i="2"/>
  <c r="V43" i="2"/>
  <c r="V45" i="2" s="1"/>
  <c r="V61" i="2" s="1"/>
  <c r="L44" i="2"/>
  <c r="M44" i="2" s="1"/>
  <c r="N44" i="2" s="1"/>
  <c r="L43" i="2"/>
  <c r="M43" i="2" s="1"/>
  <c r="K45" i="2"/>
  <c r="L41" i="2"/>
  <c r="Y42" i="2" l="1"/>
  <c r="W104" i="2"/>
  <c r="V107" i="2"/>
  <c r="K46" i="2"/>
  <c r="K61" i="2"/>
  <c r="J48" i="2"/>
  <c r="U48" i="2" s="1"/>
  <c r="U49" i="2" s="1"/>
  <c r="I87" i="2"/>
  <c r="N43" i="2"/>
  <c r="N45" i="2" s="1"/>
  <c r="M45" i="2"/>
  <c r="L45" i="2"/>
  <c r="Z42" i="2" l="1"/>
  <c r="J49" i="2"/>
  <c r="J50" i="2" s="1"/>
  <c r="U50" i="2" s="1"/>
  <c r="U57" i="2" s="1"/>
  <c r="X104" i="2"/>
  <c r="W107" i="2"/>
  <c r="L46" i="2"/>
  <c r="L61" i="2"/>
  <c r="M46" i="2"/>
  <c r="M61" i="2"/>
  <c r="N46" i="2"/>
  <c r="N61" i="2"/>
  <c r="U51" i="2" l="1"/>
  <c r="Y104" i="2"/>
  <c r="X107" i="2"/>
  <c r="J51" i="2"/>
  <c r="U52" i="2" l="1"/>
  <c r="Z104" i="2"/>
  <c r="Z107" i="2" s="1"/>
  <c r="Y107" i="2"/>
  <c r="J87" i="2"/>
  <c r="J52" i="2"/>
  <c r="J63" i="2"/>
  <c r="J103" i="2" l="1"/>
  <c r="J108" i="2" s="1"/>
  <c r="U88" i="2"/>
  <c r="U103" i="2" s="1"/>
  <c r="U63" i="2"/>
  <c r="K48" i="2"/>
  <c r="K49" i="2" s="1"/>
  <c r="K50" i="2" s="1"/>
  <c r="K51" i="2" s="1"/>
  <c r="K87" i="2" s="1"/>
  <c r="K103" i="2" s="1"/>
  <c r="K108" i="2" s="1"/>
  <c r="K63" i="2" l="1"/>
  <c r="L48" i="2" s="1"/>
  <c r="L49" i="2" s="1"/>
  <c r="L50" i="2" s="1"/>
  <c r="L51" i="2" s="1"/>
  <c r="K52" i="2"/>
  <c r="U87" i="2"/>
  <c r="U108" i="2" s="1"/>
  <c r="U60" i="2" s="1"/>
  <c r="V46" i="2"/>
  <c r="V50" i="2" s="1"/>
  <c r="L87" i="2" l="1"/>
  <c r="L103" i="2" s="1"/>
  <c r="L108" i="2" s="1"/>
  <c r="L63" i="2"/>
  <c r="M48" i="2" s="1"/>
  <c r="M49" i="2" s="1"/>
  <c r="L52" i="2"/>
  <c r="V48" i="2"/>
  <c r="V49" i="2" s="1"/>
  <c r="V51" i="2" s="1"/>
  <c r="M50" i="2" l="1"/>
  <c r="M51" i="2" s="1"/>
  <c r="V87" i="2"/>
  <c r="V52" i="2"/>
  <c r="V63" i="2"/>
  <c r="M87" i="2" l="1"/>
  <c r="M103" i="2" s="1"/>
  <c r="M108" i="2" s="1"/>
  <c r="M63" i="2"/>
  <c r="N48" i="2" s="1"/>
  <c r="N49" i="2" s="1"/>
  <c r="M52" i="2"/>
  <c r="W48" i="2"/>
  <c r="N50" i="2" l="1"/>
  <c r="N51" i="2" s="1"/>
  <c r="N87" i="2" l="1"/>
  <c r="N103" i="2" s="1"/>
  <c r="N108" i="2" s="1"/>
  <c r="N63" i="2"/>
  <c r="N52" i="2"/>
  <c r="W43" i="2"/>
  <c r="W22" i="2"/>
  <c r="W85" i="2"/>
  <c r="W24" i="2"/>
  <c r="X85" i="2"/>
  <c r="X22" i="2" l="1"/>
  <c r="Y24" i="2"/>
  <c r="Y85" i="2"/>
  <c r="W44" i="2"/>
  <c r="W45" i="2" s="1"/>
  <c r="W61" i="2" s="1"/>
  <c r="Y22" i="2"/>
  <c r="X43" i="2"/>
  <c r="X24" i="2"/>
  <c r="Y43" i="2" l="1"/>
  <c r="Z22" i="2"/>
  <c r="Z85" i="2"/>
  <c r="Z24" i="2"/>
  <c r="Z43" i="2"/>
  <c r="X44" i="2"/>
  <c r="Y44" i="2" s="1"/>
  <c r="Z44" i="2" s="1"/>
  <c r="X45" i="2" l="1"/>
  <c r="X61" i="2" s="1"/>
  <c r="Z45" i="2"/>
  <c r="Z61" i="2" s="1"/>
  <c r="Y45" i="2"/>
  <c r="Y61" i="2" s="1"/>
  <c r="W46" i="2"/>
  <c r="X46" i="2" l="1"/>
  <c r="W49" i="2"/>
  <c r="W50" i="2"/>
  <c r="W51" i="2" l="1"/>
  <c r="Y46" i="2"/>
  <c r="Z46" i="2"/>
  <c r="X50" i="2"/>
  <c r="Z50" i="2" l="1"/>
  <c r="Y50" i="2"/>
  <c r="W52" i="2"/>
  <c r="W63" i="2"/>
  <c r="W87" i="2"/>
  <c r="X48" i="2" l="1"/>
  <c r="X49" i="2" s="1"/>
  <c r="X51" i="2" s="1"/>
  <c r="X52" i="2" l="1"/>
  <c r="X87" i="2"/>
  <c r="X63" i="2"/>
  <c r="Y48" i="2" l="1"/>
  <c r="Y49" i="2" s="1"/>
  <c r="Y51" i="2" s="1"/>
  <c r="Y63" i="2" s="1"/>
  <c r="Z48" i="2" l="1"/>
  <c r="Z49" i="2" s="1"/>
  <c r="Z51" i="2" s="1"/>
  <c r="Y87" i="2"/>
  <c r="Y52" i="2"/>
  <c r="Z52" i="2" l="1"/>
  <c r="AA51" i="2"/>
  <c r="Z87" i="2"/>
  <c r="Z63" i="2"/>
  <c r="AB51" i="2" l="1"/>
  <c r="AC51" i="2" s="1"/>
  <c r="AD51" i="2" s="1"/>
  <c r="AE51" i="2" s="1"/>
  <c r="AF51" i="2" s="1"/>
  <c r="AG51" i="2" s="1"/>
  <c r="AH51" i="2" s="1"/>
  <c r="AI51" i="2" s="1"/>
  <c r="AJ51" i="2" s="1"/>
  <c r="AK51" i="2" s="1"/>
  <c r="AL51" i="2" s="1"/>
  <c r="AM51" i="2" s="1"/>
  <c r="AN51" i="2" s="1"/>
  <c r="AO51" i="2" s="1"/>
  <c r="AP51" i="2" s="1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BA51" i="2" s="1"/>
  <c r="BB51" i="2" s="1"/>
  <c r="BC51" i="2" s="1"/>
  <c r="BD51" i="2" s="1"/>
  <c r="BE51" i="2" s="1"/>
  <c r="BF51" i="2" s="1"/>
  <c r="BG51" i="2" s="1"/>
  <c r="BH51" i="2" s="1"/>
  <c r="BI51" i="2" s="1"/>
  <c r="BJ51" i="2" s="1"/>
  <c r="BK51" i="2" s="1"/>
  <c r="BL51" i="2" s="1"/>
  <c r="BM51" i="2" s="1"/>
  <c r="BN51" i="2" s="1"/>
  <c r="BO51" i="2" s="1"/>
  <c r="BP51" i="2" s="1"/>
  <c r="BQ51" i="2" s="1"/>
  <c r="BR51" i="2" s="1"/>
  <c r="BS51" i="2" s="1"/>
  <c r="BT51" i="2" s="1"/>
  <c r="BU51" i="2" s="1"/>
  <c r="BV51" i="2" s="1"/>
  <c r="BW51" i="2" s="1"/>
  <c r="BX51" i="2" s="1"/>
  <c r="BY51" i="2" s="1"/>
  <c r="BZ51" i="2" s="1"/>
  <c r="CA51" i="2" s="1"/>
  <c r="CB51" i="2" s="1"/>
  <c r="CC51" i="2" s="1"/>
  <c r="CD51" i="2" s="1"/>
  <c r="CE51" i="2" s="1"/>
  <c r="CF51" i="2" s="1"/>
  <c r="CG51" i="2" s="1"/>
  <c r="CH51" i="2" s="1"/>
  <c r="CI51" i="2" s="1"/>
  <c r="CJ51" i="2" s="1"/>
  <c r="CK51" i="2" s="1"/>
  <c r="CL51" i="2" s="1"/>
  <c r="CM51" i="2" s="1"/>
  <c r="CN51" i="2" s="1"/>
  <c r="AC58" i="2" l="1"/>
  <c r="AC59" i="2" s="1"/>
  <c r="AC60" i="2" s="1"/>
  <c r="V103" i="2"/>
  <c r="V108" i="2" s="1"/>
  <c r="V60" i="2" s="1"/>
  <c r="W94" i="2"/>
  <c r="X94" i="2" s="1"/>
  <c r="Y94" i="2" l="1"/>
  <c r="X103" i="2"/>
  <c r="X108" i="2" s="1"/>
  <c r="X60" i="2" s="1"/>
  <c r="W103" i="2"/>
  <c r="W108" i="2" s="1"/>
  <c r="W60" i="2" s="1"/>
  <c r="Y103" i="2" l="1"/>
  <c r="Y108" i="2" s="1"/>
  <c r="Y60" i="2" s="1"/>
  <c r="Z94" i="2"/>
  <c r="Z103" i="2" s="1"/>
  <c r="Z108" i="2" s="1"/>
  <c r="Z60" i="2" s="1"/>
  <c r="AA108" i="2" l="1"/>
  <c r="AB108" i="2" s="1"/>
  <c r="AC108" i="2" s="1"/>
  <c r="AD108" i="2" s="1"/>
  <c r="AE108" i="2" s="1"/>
  <c r="AF108" i="2" s="1"/>
  <c r="AG108" i="2" s="1"/>
  <c r="AH108" i="2" s="1"/>
  <c r="AI108" i="2" s="1"/>
  <c r="AJ108" i="2" s="1"/>
  <c r="AK108" i="2" s="1"/>
  <c r="AL108" i="2" s="1"/>
  <c r="AM108" i="2" s="1"/>
  <c r="AN108" i="2" s="1"/>
  <c r="AO108" i="2" s="1"/>
  <c r="AP108" i="2" s="1"/>
  <c r="AQ108" i="2" s="1"/>
  <c r="AR108" i="2" s="1"/>
  <c r="AS108" i="2" s="1"/>
  <c r="AT108" i="2" s="1"/>
  <c r="AU108" i="2" s="1"/>
  <c r="AV108" i="2" s="1"/>
  <c r="AW108" i="2" s="1"/>
  <c r="AX108" i="2" s="1"/>
  <c r="AY108" i="2" s="1"/>
  <c r="AZ108" i="2" s="1"/>
  <c r="BA108" i="2" s="1"/>
  <c r="BB108" i="2" s="1"/>
  <c r="BC108" i="2" s="1"/>
  <c r="BD108" i="2" s="1"/>
  <c r="BE108" i="2" s="1"/>
  <c r="BF108" i="2" s="1"/>
  <c r="BG108" i="2" s="1"/>
  <c r="BH108" i="2" s="1"/>
  <c r="BI108" i="2" s="1"/>
  <c r="BJ108" i="2" s="1"/>
  <c r="BK108" i="2" s="1"/>
  <c r="BL108" i="2" s="1"/>
  <c r="BM108" i="2" s="1"/>
  <c r="BN108" i="2" s="1"/>
  <c r="BO108" i="2" s="1"/>
  <c r="BP108" i="2" s="1"/>
  <c r="BQ108" i="2" s="1"/>
  <c r="BR108" i="2" s="1"/>
  <c r="BS108" i="2" s="1"/>
  <c r="BT108" i="2" s="1"/>
  <c r="BU108" i="2" s="1"/>
  <c r="BV108" i="2" s="1"/>
  <c r="BW108" i="2" s="1"/>
  <c r="BX108" i="2" s="1"/>
  <c r="BY108" i="2" s="1"/>
  <c r="BZ108" i="2" s="1"/>
  <c r="CA108" i="2" s="1"/>
  <c r="CB108" i="2" s="1"/>
  <c r="CC108" i="2" s="1"/>
  <c r="CD108" i="2" s="1"/>
  <c r="CE108" i="2" s="1"/>
  <c r="CF108" i="2" s="1"/>
  <c r="CG108" i="2" s="1"/>
  <c r="CH108" i="2" s="1"/>
  <c r="CI108" i="2" s="1"/>
  <c r="CJ108" i="2" s="1"/>
  <c r="CK108" i="2" s="1"/>
  <c r="CL108" i="2" s="1"/>
  <c r="CM108" i="2" s="1"/>
  <c r="CN108" i="2" s="1"/>
  <c r="CO108" i="2" s="1"/>
  <c r="CP108" i="2" s="1"/>
  <c r="CQ108" i="2" s="1"/>
  <c r="CR108" i="2" s="1"/>
  <c r="CS108" i="2" s="1"/>
  <c r="CT108" i="2" s="1"/>
  <c r="CU108" i="2" s="1"/>
  <c r="CV108" i="2" s="1"/>
  <c r="CW108" i="2" s="1"/>
  <c r="CX108" i="2" s="1"/>
  <c r="CY108" i="2" s="1"/>
  <c r="CZ108" i="2" s="1"/>
  <c r="DA108" i="2" s="1"/>
  <c r="DB108" i="2" s="1"/>
  <c r="DC108" i="2" s="1"/>
  <c r="DD108" i="2" s="1"/>
  <c r="DE108" i="2" s="1"/>
  <c r="DF108" i="2" s="1"/>
  <c r="DG108" i="2" s="1"/>
  <c r="DH108" i="2" s="1"/>
  <c r="DI108" i="2" s="1"/>
  <c r="DJ108" i="2" s="1"/>
  <c r="DK108" i="2" s="1"/>
  <c r="DL108" i="2" s="1"/>
  <c r="DM108" i="2" s="1"/>
  <c r="DN108" i="2" s="1"/>
  <c r="DO108" i="2" s="1"/>
  <c r="DP108" i="2" s="1"/>
  <c r="DQ108" i="2" s="1"/>
  <c r="DR10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tc={C2D78901-D1F4-4871-B5D4-B18265B433F7}</author>
  </authors>
  <commentList>
    <comment ref="B20" authorId="0" shapeId="0" xr:uid="{C2D78901-D1F4-4871-B5D4-B18265B433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https://www.bloomberg.com/news/articles/2024-08-06/super-micro-gives-strong-sales-outlook-on-ai-server-expansion
https://www.bloomberg.com/news/articles/2025-04-29/super-micro-plunges-after-its-prelimary-results-miss-estimates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tc={07B89E43-8E64-4D6B-81D7-37BC3D9CEEE2}</author>
    <author>tc={B928ADE7-8211-4D2F-BD8C-79ED22DF99E4}</author>
    <author>tc={45B433DF-6A70-443F-BD0E-B05A27CEBFAA}</author>
    <author>tc={0B6543D7-8349-4811-861E-C0B9D944AF98}</author>
    <author>tc={F2FEB8A9-AB5D-4787-9460-AE116AE11E92}</author>
    <author>tc={DEC1EFA7-08CE-407F-80BC-3BD72A054B95}</author>
    <author>tc={518D6400-4738-48D4-8A7C-6A58D2E68831}</author>
    <author>tc={F447A70C-BFD1-47B1-8F98-8C7CAE49EF2E}</author>
    <author>tc={960D152D-CF0A-4D06-BBAA-48E55DA153B5}</author>
  </authors>
  <commentList>
    <comment ref="V16" authorId="0" shapeId="0" xr:uid="{07B89E43-8E64-4D6B-81D7-37BC3D9CEEE2}">
      <text>
        <t>[Threaded comment]
Your version of Excel allows you to read this threaded comment; however, any edits to it will get removed if the file is opened in a newer version of Excel. Learn more: https://go.microsoft.com/fwlink/?linkid=870924
Comment:
    Majority of this capex from these companies is from cloud</t>
      </text>
    </comment>
    <comment ref="V17" authorId="1" shapeId="0" xr:uid="{B928ADE7-8211-4D2F-BD8C-79ED22DF99E4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“googl forecast for their FY25” mainly cloud capex</t>
      </text>
    </comment>
    <comment ref="I24" authorId="2" shapeId="0" xr:uid="{45B433DF-6A70-443F-BD0E-B05A27CEBFAA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Outlier, mostly sold old inventory this quarter
Reply:
    Also Inventory increase by smci could be in preparation for blackwell server capex</t>
      </text>
    </comment>
    <comment ref="U33" authorId="3" shapeId="0" xr:uid="{0B6543D7-8349-4811-861E-C0B9D944AF9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of racks shipped are DLC</t>
      </text>
    </comment>
    <comment ref="V33" authorId="4" shapeId="0" xr:uid="{F2FEB8A9-AB5D-4787-9460-AE116AE11E92}">
      <text>
        <t>[Threaded comment]
Your version of Excel allows you to read this threaded comment; however, any edits to it will get removed if the file is opened in a newer version of Excel. Learn more: https://go.microsoft.com/fwlink/?linkid=870924
Comment:
    30% of racks shipper are DLC2</t>
      </text>
    </comment>
    <comment ref="J39" authorId="5" shapeId="0" xr:uid="{DEC1EFA7-08CE-407F-80BC-3BD72A054B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“Q4 Rev at least 6b”
</t>
      </text>
    </comment>
    <comment ref="J53" authorId="6" shapeId="0" xr:uid="{518D6400-4738-48D4-8A7C-6A58D2E68831}">
      <text>
        <t>[Threaded comment]
Your version of Excel allows you to read this threaded comment; however, any edits to it will get removed if the file is opened in a newer version of Excel. Learn more: https://go.microsoft.com/fwlink/?linkid=870924
Comment:
    “diluted share count”</t>
      </text>
    </comment>
    <comment ref="J57" authorId="7" shapeId="0" xr:uid="{F447A70C-BFD1-47B1-8F98-8C7CAE49EF2E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14.9% GAAP tax rate”</t>
      </text>
    </comment>
    <comment ref="J107" authorId="8" shapeId="0" xr:uid="{960D152D-CF0A-4D06-BBAA-48E55DA153B5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45-55m”</t>
      </text>
    </comment>
  </commentList>
</comments>
</file>

<file path=xl/sharedStrings.xml><?xml version="1.0" encoding="utf-8"?>
<sst xmlns="http://schemas.openxmlformats.org/spreadsheetml/2006/main" count="157" uniqueCount="143">
  <si>
    <t>SMCI</t>
  </si>
  <si>
    <t>Price</t>
  </si>
  <si>
    <t>Shares</t>
  </si>
  <si>
    <t>MC</t>
  </si>
  <si>
    <t>Cash</t>
  </si>
  <si>
    <t>Debt</t>
  </si>
  <si>
    <t>EV</t>
  </si>
  <si>
    <t>Revenue</t>
  </si>
  <si>
    <t>Net Income</t>
  </si>
  <si>
    <t>Gross Margin</t>
  </si>
  <si>
    <t>Discount</t>
  </si>
  <si>
    <t>R&amp;D</t>
  </si>
  <si>
    <t>Maturity</t>
  </si>
  <si>
    <t>NPV</t>
  </si>
  <si>
    <t>Diff</t>
  </si>
  <si>
    <t>FCF</t>
  </si>
  <si>
    <t>CFFO</t>
  </si>
  <si>
    <t>Q125</t>
  </si>
  <si>
    <t>Q225</t>
  </si>
  <si>
    <t>Q325</t>
  </si>
  <si>
    <t>Q425</t>
  </si>
  <si>
    <t>COGS</t>
  </si>
  <si>
    <t>Gross Profit</t>
  </si>
  <si>
    <t>Revenue y/y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</si>
  <si>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</si>
  <si>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</si>
  <si>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</si>
  <si>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</si>
  <si>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</si>
  <si>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</si>
  <si>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</si>
  <si>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EPS</t>
  </si>
  <si>
    <t>Other Income</t>
  </si>
  <si>
    <t>FCF Margin</t>
  </si>
  <si>
    <t>Q126</t>
  </si>
  <si>
    <t>Q226</t>
  </si>
  <si>
    <t>notes:</t>
  </si>
  <si>
    <t>Tax Rate</t>
  </si>
  <si>
    <t>Revenue q/q</t>
  </si>
  <si>
    <t>Nvidia Blackwell in 2026 main revenue growth</t>
  </si>
  <si>
    <t>ROIC</t>
  </si>
  <si>
    <t>Net Cash</t>
  </si>
  <si>
    <t>Q124</t>
  </si>
  <si>
    <t>Q224</t>
  </si>
  <si>
    <t>Q324</t>
  </si>
  <si>
    <t>Q424</t>
  </si>
  <si>
    <t>Q326</t>
  </si>
  <si>
    <t>Q426</t>
  </si>
  <si>
    <t>Main</t>
  </si>
  <si>
    <t>OPEX Margin</t>
  </si>
  <si>
    <t>AR</t>
  </si>
  <si>
    <t>Inventories</t>
  </si>
  <si>
    <t>PP&amp;E</t>
  </si>
  <si>
    <t>Other Assets</t>
  </si>
  <si>
    <t>Assets</t>
  </si>
  <si>
    <t>AP</t>
  </si>
  <si>
    <t>Accrued Liabilities</t>
  </si>
  <si>
    <t>LOC &amp; Current Portion of Loans</t>
  </si>
  <si>
    <t>Term Loans</t>
  </si>
  <si>
    <t>Converts</t>
  </si>
  <si>
    <t>Liabilities</t>
  </si>
  <si>
    <t>SE</t>
  </si>
  <si>
    <t>L+SE</t>
  </si>
  <si>
    <t>DSO</t>
  </si>
  <si>
    <t>Model NI</t>
  </si>
  <si>
    <t>Reported NI</t>
  </si>
  <si>
    <t>D&amp;A</t>
  </si>
  <si>
    <t>Loss from Equity Investee</t>
  </si>
  <si>
    <t>Other</t>
  </si>
  <si>
    <t>PP&amp;E Purchases</t>
  </si>
  <si>
    <t>Investment in Equity</t>
  </si>
  <si>
    <t>Acquisition</t>
  </si>
  <si>
    <t>CAPEX</t>
  </si>
  <si>
    <t>NVDA Rev</t>
  </si>
  <si>
    <t>NVDA Blackwell Rev</t>
  </si>
  <si>
    <t>"21.8-22.6b 2025"</t>
  </si>
  <si>
    <t>AMD MI350 + MI325X Rev</t>
  </si>
  <si>
    <t>"DCBBS . . . delivering up  to 30% lower TCO"</t>
  </si>
  <si>
    <t>Enterprise/Channel Vert</t>
  </si>
  <si>
    <t>Company is a Server and Storage Systems maker mainly for cloud and works with AMD &amp; NVDA</t>
  </si>
  <si>
    <t>USA Rev</t>
  </si>
  <si>
    <t>Asia Rev</t>
  </si>
  <si>
    <t>Rest of World</t>
  </si>
  <si>
    <t>Hopper-&gt;Blackwell Server Upgrade</t>
  </si>
  <si>
    <t>Q425 and FY26 expected strong growth due to Blackwell</t>
  </si>
  <si>
    <t>Blackwell 60% faster than Hopper</t>
  </si>
  <si>
    <t>"40b revenue by 2026 conservative" &lt;-- previous guidance no FY26 guidance for now</t>
  </si>
  <si>
    <t>Gross Margin is the key to the valuation of this stock</t>
  </si>
  <si>
    <t>DGX B200, HGX, DCBBS, GB300, B300, DLC2</t>
  </si>
  <si>
    <t>tariff GM headwinds</t>
  </si>
  <si>
    <t>long-term GM target of 14-17%</t>
  </si>
  <si>
    <t>current GM reduction from using older inventory</t>
  </si>
  <si>
    <t>SMCI COGS is the GPUs together to make a server stack and sell it</t>
  </si>
  <si>
    <t>TAM</t>
  </si>
  <si>
    <t>Penetration %</t>
  </si>
  <si>
    <t>ORCL CAPEX</t>
  </si>
  <si>
    <t>AZMN CAPEX</t>
  </si>
  <si>
    <t>MSFT CAPEX</t>
  </si>
  <si>
    <t>GOOGL CAPEX</t>
  </si>
  <si>
    <t>% of NVDA traffic is SMCI</t>
  </si>
  <si>
    <t>"According to the Bloomberg Supply Chain feature, Super Micro accounts for approximately 8% of NVIDIA's revenue"</t>
  </si>
  <si>
    <t>Core Rev</t>
  </si>
  <si>
    <t>20b deal w/ datavolt</t>
  </si>
  <si>
    <t>Dell Server Rev</t>
  </si>
  <si>
    <t>HP Server Rev</t>
  </si>
  <si>
    <t>Dell Server Margin</t>
  </si>
  <si>
    <t>HP Server Margin</t>
  </si>
  <si>
    <t>IBM Server Rev</t>
  </si>
  <si>
    <t>IBM Server Margin</t>
  </si>
  <si>
    <t>Lenovo Server Rev</t>
  </si>
  <si>
    <t>Lenovo Server Margin</t>
  </si>
  <si>
    <t>DLC / DLC2 Volume</t>
  </si>
  <si>
    <t>PGDLC2</t>
  </si>
  <si>
    <t xml:space="preserve">DCBBS ready for full volume &amp; Malaysia full production &amp; USA, Europe </t>
  </si>
  <si>
    <t xml:space="preserve">Inference AI / Logic (not one shot thinking) is 1000x more data use, more </t>
  </si>
  <si>
    <t>AI Factory vs Data Center</t>
  </si>
  <si>
    <t>META CAPEX</t>
  </si>
  <si>
    <t>Tax Payable</t>
  </si>
  <si>
    <t>OLTL</t>
  </si>
  <si>
    <t>DT</t>
  </si>
  <si>
    <t>DR</t>
  </si>
  <si>
    <t>Prepaids</t>
  </si>
  <si>
    <t>AL</t>
  </si>
  <si>
    <t>UR Currency Exchange Gain</t>
  </si>
  <si>
    <t>SBC</t>
  </si>
  <si>
    <t>Hopper</t>
  </si>
  <si>
    <t>Blackwell</t>
  </si>
  <si>
    <t>Blackwell Ultra</t>
  </si>
  <si>
    <t>Ampere</t>
  </si>
  <si>
    <t>Rubin</t>
  </si>
  <si>
    <t>Feynman</t>
  </si>
  <si>
    <t>Rubin Ultra</t>
  </si>
  <si>
    <t>DLC Rev</t>
  </si>
  <si>
    <t>DLC ASP</t>
  </si>
  <si>
    <t>Air-Cooled Volume</t>
  </si>
  <si>
    <t>Air-Cooled ASP</t>
  </si>
  <si>
    <t>"grow 65% AT LEAST fy26, very conservative"</t>
  </si>
  <si>
    <t>"production capacity USA only 55% taiwan only 60%, malaysia 1%"</t>
  </si>
  <si>
    <t>"large backlog and increasing GB200, B200 Blackwell"</t>
  </si>
  <si>
    <t>"what will the competition deliver is a big indicator of the margins"</t>
  </si>
  <si>
    <t>H100</t>
  </si>
  <si>
    <t>(2023 margins was because H100 SMCI was ahead and this year is the same opportunity but add with liquid cooling)</t>
  </si>
  <si>
    <t>SMCI 2024 shipped 60% of DLC worldwide, competitors are not ready, not many are able to provide on-site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</si>
</sst>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%"/>
    <numFmt numFmtId="165" formatCode="#,##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3" fontId="12" fillId="0" borderId="0" xfId="1" applyNumberFormat="1" applyFont="1"/>
    <xf numFmtId="3" fontId="13" fillId="0" borderId="0" xfId="0" applyNumberFormat="1" applyFont="1"/>
    <xf numFmtId="9" fontId="13" fillId="0" borderId="0" xfId="0" applyNumberFormat="1" applyFont="1"/>
    <xf numFmtId="3" fontId="10" fillId="0" borderId="0" xfId="0" applyNumberFormat="1" applyFont="1"/>
    <xf numFmtId="4" fontId="10" fillId="0" borderId="0" xfId="0" applyNumberFormat="1" applyFont="1"/>
    <xf numFmtId="0" fontId="13" fillId="0" borderId="0" xfId="0" applyFont="1"/>
    <xf numFmtId="0" fontId="10" fillId="0" borderId="0" xfId="0" applyFont="1"/>
    <xf numFmtId="3" fontId="9" fillId="0" borderId="0" xfId="0" applyNumberFormat="1" applyFont="1"/>
    <xf numFmtId="1" fontId="9" fillId="0" borderId="0" xfId="0" applyNumberFormat="1" applyFont="1"/>
    <xf numFmtId="1" fontId="9" fillId="0" borderId="1" xfId="0" applyNumberFormat="1" applyFont="1" applyBorder="1"/>
    <xf numFmtId="4" fontId="9" fillId="0" borderId="0" xfId="0" applyNumberFormat="1" applyFont="1"/>
    <xf numFmtId="10" fontId="9" fillId="0" borderId="0" xfId="0" applyNumberFormat="1" applyFont="1"/>
    <xf numFmtId="9" fontId="9" fillId="0" borderId="0" xfId="0" applyNumberFormat="1" applyFont="1"/>
    <xf numFmtId="164" fontId="9" fillId="0" borderId="0" xfId="0" applyNumberFormat="1" applyFont="1"/>
    <xf numFmtId="8" fontId="9" fillId="0" borderId="0" xfId="0" applyNumberFormat="1" applyFont="1"/>
    <xf numFmtId="0" fontId="9" fillId="0" borderId="0" xfId="0" applyFont="1"/>
    <xf numFmtId="164" fontId="13" fillId="0" borderId="0" xfId="0" applyNumberFormat="1" applyFont="1"/>
    <xf numFmtId="0" fontId="8" fillId="0" borderId="0" xfId="0" applyFont="1"/>
    <xf numFmtId="3" fontId="8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6" fillId="0" borderId="0" xfId="0" applyNumberFormat="1" applyFont="1"/>
    <xf numFmtId="3" fontId="5" fillId="0" borderId="0" xfId="0" applyNumberFormat="1" applyFont="1"/>
    <xf numFmtId="3" fontId="4" fillId="0" borderId="0" xfId="0" applyNumberFormat="1" applyFont="1"/>
    <xf numFmtId="0" fontId="4" fillId="0" borderId="0" xfId="0" applyFont="1"/>
    <xf numFmtId="3" fontId="3" fillId="0" borderId="0" xfId="0" applyNumberFormat="1" applyFont="1"/>
    <xf numFmtId="3" fontId="2" fillId="0" borderId="0" xfId="0" applyNumberFormat="1" applyFont="1"/>
    <xf numFmtId="1" fontId="10" fillId="0" borderId="0" xfId="0" applyNumberFormat="1" applyFont="1"/>
    <xf numFmtId="0" fontId="2" fillId="0" borderId="0" xfId="0" applyFont="1"/>
    <xf numFmtId="165" fontId="9" fillId="0" borderId="0" xfId="0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119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EC3652-0265-712B-B45A-694F749AA1D9}"/>
            </a:ext>
          </a:extLst>
        </xdr:cNvPr>
        <xdr:cNvCxnSpPr/>
      </xdr:nvCxnSpPr>
      <xdr:spPr>
        <a:xfrm>
          <a:off x="6115050" y="19050"/>
          <a:ext cx="0" cy="18935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127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348FFB5-0C39-F80A-F9CA-576D491C9A35}"/>
            </a:ext>
          </a:extLst>
        </xdr:cNvPr>
        <xdr:cNvCxnSpPr/>
      </xdr:nvCxnSpPr>
      <xdr:spPr>
        <a:xfrm>
          <a:off x="13335000" y="0"/>
          <a:ext cx="0" cy="17221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9FB83736-EE26-422E-AD1E-D65440F32024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5-05-13T06:04:12.41" personId="{9FB83736-EE26-422E-AD1E-D65440F32024}" id="{C2D78901-D1F4-4871-B5D4-B18265B433F7}">
    <text xml:space="preserve">https://www.bloomberg.com/news/articles/2024-08-06/super-micro-gives-strong-sales-outlook-on-ai-server-expansion
https://www.bloomberg.com/news/articles/2025-04-29/super-micro-plunges-after-its-prelimary-results-miss-estimates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16" dT="2025-05-13T05:57:20.60" personId="{9FB83736-EE26-422E-AD1E-D65440F32024}" id="{07B89E43-8E64-4D6B-81D7-37BC3D9CEEE2}">
    <text>Majority of this capex from these companies is from cloud</text>
  </threadedComment>
  <threadedComment ref="V17" dT="2025-05-13T05:48:53.30" personId="{9FB83736-EE26-422E-AD1E-D65440F32024}" id="{B928ADE7-8211-4D2F-BD8C-79ED22DF99E4}">
    <text>“googl forecast for their FY25” mainly cloud capex</text>
  </threadedComment>
  <threadedComment ref="I24" dT="2025-05-13T06:01:58.85" personId="{9FB83736-EE26-422E-AD1E-D65440F32024}" id="{45B433DF-6A70-443F-BD0E-B05A27CEBFAA}">
    <text>Outlier, mostly sold old inventory this quarter</text>
  </threadedComment>
  <threadedComment ref="I24" dT="2025-05-13T06:06:27.60" personId="{9FB83736-EE26-422E-AD1E-D65440F32024}" id="{4DC0E4EE-3319-427D-A24F-67694DBE7EA0}" parentId="{45B433DF-6A70-443F-BD0E-B05A27CEBFAA}">
    <text>Also Inventory increase by smci could be in preparation for blackwell server capex</text>
  </threadedComment>
  <threadedComment ref="U33" dT="2025-05-26T01:09:02.84" personId="{9FB83736-EE26-422E-AD1E-D65440F32024}" id="{0B6543D7-8349-4811-861E-C0B9D944AF98}">
    <text>15% of racks shipped are DLC</text>
  </threadedComment>
  <threadedComment ref="V33" dT="2025-05-26T01:09:11.95" personId="{9FB83736-EE26-422E-AD1E-D65440F32024}" id="{F2FEB8A9-AB5D-4787-9460-AE116AE11E92}">
    <text>30% of racks shipper are DLC2</text>
  </threadedComment>
  <threadedComment ref="J39" dT="2025-05-13T04:58:19.64" personId="{9FB83736-EE26-422E-AD1E-D65440F32024}" id="{DEC1EFA7-08CE-407F-80BC-3BD72A054B95}">
    <text xml:space="preserve">“Q4 Rev at least 6b”
</text>
  </threadedComment>
  <threadedComment ref="J53" dT="2025-05-13T05:05:22.48" personId="{9FB83736-EE26-422E-AD1E-D65440F32024}" id="{518D6400-4738-48D4-8A7C-6A58D2E68831}">
    <text>“diluted share count”</text>
  </threadedComment>
  <threadedComment ref="J57" dT="2025-05-13T05:05:00.83" personId="{9FB83736-EE26-422E-AD1E-D65440F32024}" id="{F447A70C-BFD1-47B1-8F98-8C7CAE49EF2E}">
    <text>“expect 14.9% GAAP tax rate”</text>
  </threadedComment>
  <threadedComment ref="J107" dT="2025-05-13T05:04:41.19" personId="{9FB83736-EE26-422E-AD1E-D65440F32024}" id="{960D152D-CF0A-4D06-BBAA-48E55DA153B5}">
    <text>“expect 45-55m”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14CC-655A-4E11-87EC-D301395A4983}">
  <dimension ref="A1:J36"/>
  <sheetViews>
    <sheetView zoomScale="205" zoomScaleNormal="205" workbookViewId="0">
      <selection activeCell="B33" sqref="B33"/>
    </sheetView>
  </sheetViews>
  <sheetFormatPr defaultRowHeight="14.25" x14ac:dyDescent="0.2"/>
  <cols>
    <col min="1" max="1" width="9.140625" style="7"/>
    <col min="2" max="2" width="12.7109375" style="7" bestFit="1" customWidth="1"/>
    <col min="3" max="16384" width="9.140625" style="7"/>
  </cols>
  <sheetData>
    <row r="1" spans="1:10" ht="15" x14ac:dyDescent="0.25">
      <c r="A1" s="6" t="s">
        <v>0</v>
      </c>
    </row>
    <row r="2" spans="1:10" x14ac:dyDescent="0.2">
      <c r="B2" s="7" t="s">
        <v>36</v>
      </c>
    </row>
    <row r="3" spans="1:10" x14ac:dyDescent="0.2">
      <c r="B3" s="16" t="s">
        <v>86</v>
      </c>
    </row>
    <row r="4" spans="1:10" x14ac:dyDescent="0.2">
      <c r="B4" s="16" t="s">
        <v>75</v>
      </c>
    </row>
    <row r="5" spans="1:10" x14ac:dyDescent="0.2">
      <c r="B5" s="7" t="s">
        <v>39</v>
      </c>
    </row>
    <row r="6" spans="1:10" x14ac:dyDescent="0.2">
      <c r="B6" s="16" t="s">
        <v>88</v>
      </c>
    </row>
    <row r="7" spans="1:10" x14ac:dyDescent="0.2">
      <c r="B7" s="16" t="s">
        <v>77</v>
      </c>
    </row>
    <row r="8" spans="1:10" x14ac:dyDescent="0.2">
      <c r="B8" s="16" t="s">
        <v>79</v>
      </c>
      <c r="E8" s="5"/>
    </row>
    <row r="9" spans="1:10" x14ac:dyDescent="0.2">
      <c r="B9" s="16" t="s">
        <v>83</v>
      </c>
    </row>
    <row r="10" spans="1:10" x14ac:dyDescent="0.2">
      <c r="B10" s="16" t="s">
        <v>84</v>
      </c>
      <c r="I10" s="20"/>
      <c r="J10" s="5"/>
    </row>
    <row r="11" spans="1:10" x14ac:dyDescent="0.2">
      <c r="B11" s="16" t="s">
        <v>85</v>
      </c>
      <c r="I11" s="20"/>
      <c r="J11" s="5"/>
    </row>
    <row r="12" spans="1:10" x14ac:dyDescent="0.2">
      <c r="B12" s="16" t="s">
        <v>87</v>
      </c>
      <c r="J12" s="5"/>
    </row>
    <row r="13" spans="1:10" x14ac:dyDescent="0.2">
      <c r="B13" s="16" t="s">
        <v>89</v>
      </c>
      <c r="E13" s="7" t="s">
        <v>1</v>
      </c>
      <c r="F13" s="4">
        <v>39</v>
      </c>
    </row>
    <row r="14" spans="1:10" x14ac:dyDescent="0.2">
      <c r="B14" s="16" t="s">
        <v>90</v>
      </c>
      <c r="E14" s="7" t="s">
        <v>2</v>
      </c>
      <c r="F14" s="8">
        <v>596.82000000000005</v>
      </c>
      <c r="G14" s="16" t="s">
        <v>19</v>
      </c>
    </row>
    <row r="15" spans="1:10" x14ac:dyDescent="0.2">
      <c r="B15" s="16" t="s">
        <v>91</v>
      </c>
      <c r="E15" s="7" t="s">
        <v>3</v>
      </c>
      <c r="F15" s="4">
        <f>F14*F13</f>
        <v>23275.980000000003</v>
      </c>
    </row>
    <row r="16" spans="1:10" x14ac:dyDescent="0.2">
      <c r="B16" s="16" t="s">
        <v>92</v>
      </c>
      <c r="E16" s="7" t="s">
        <v>4</v>
      </c>
      <c r="F16" s="4">
        <v>1430</v>
      </c>
      <c r="G16" s="16" t="s">
        <v>19</v>
      </c>
    </row>
    <row r="17" spans="1:7" x14ac:dyDescent="0.2">
      <c r="B17" s="18" t="s">
        <v>102</v>
      </c>
      <c r="E17" s="7" t="s">
        <v>5</v>
      </c>
      <c r="F17" s="4">
        <f>1700+53+289</f>
        <v>2042</v>
      </c>
      <c r="G17" s="16" t="s">
        <v>19</v>
      </c>
    </row>
    <row r="18" spans="1:7" x14ac:dyDescent="0.2">
      <c r="B18" s="25" t="s">
        <v>112</v>
      </c>
      <c r="E18" s="7" t="s">
        <v>6</v>
      </c>
      <c r="F18" s="4">
        <f>F15+F17-F16</f>
        <v>23887.980000000003</v>
      </c>
    </row>
    <row r="20" spans="1:7" x14ac:dyDescent="0.2">
      <c r="B20" s="16" t="s">
        <v>100</v>
      </c>
    </row>
    <row r="21" spans="1:7" x14ac:dyDescent="0.2">
      <c r="B21" s="25" t="s">
        <v>113</v>
      </c>
    </row>
    <row r="22" spans="1:7" x14ac:dyDescent="0.2">
      <c r="B22" s="25" t="s">
        <v>114</v>
      </c>
    </row>
    <row r="23" spans="1:7" x14ac:dyDescent="0.2">
      <c r="B23" s="25" t="s">
        <v>115</v>
      </c>
    </row>
    <row r="24" spans="1:7" x14ac:dyDescent="0.2">
      <c r="E24" s="31" t="s">
        <v>139</v>
      </c>
    </row>
    <row r="25" spans="1:7" x14ac:dyDescent="0.2">
      <c r="B25" s="28">
        <v>2020</v>
      </c>
      <c r="C25" s="29" t="s">
        <v>128</v>
      </c>
    </row>
    <row r="26" spans="1:7" x14ac:dyDescent="0.2">
      <c r="A26" s="31"/>
      <c r="B26" s="7">
        <v>2022</v>
      </c>
      <c r="C26" s="29" t="s">
        <v>125</v>
      </c>
      <c r="D26" s="31" t="s">
        <v>140</v>
      </c>
      <c r="E26" s="31" t="s">
        <v>141</v>
      </c>
    </row>
    <row r="27" spans="1:7" x14ac:dyDescent="0.2">
      <c r="B27" s="7">
        <v>2025</v>
      </c>
      <c r="C27" s="29" t="s">
        <v>126</v>
      </c>
    </row>
    <row r="28" spans="1:7" x14ac:dyDescent="0.2">
      <c r="B28" s="7">
        <v>2025.5</v>
      </c>
      <c r="C28" s="29" t="s">
        <v>127</v>
      </c>
    </row>
    <row r="29" spans="1:7" x14ac:dyDescent="0.2">
      <c r="B29" s="7">
        <v>2026</v>
      </c>
      <c r="C29" s="29" t="s">
        <v>129</v>
      </c>
    </row>
    <row r="30" spans="1:7" x14ac:dyDescent="0.2">
      <c r="B30" s="7">
        <v>2027</v>
      </c>
      <c r="C30" s="29" t="s">
        <v>131</v>
      </c>
    </row>
    <row r="31" spans="1:7" x14ac:dyDescent="0.2">
      <c r="B31" s="7">
        <v>2028</v>
      </c>
      <c r="C31" s="29" t="s">
        <v>130</v>
      </c>
    </row>
    <row r="33" spans="2:2" x14ac:dyDescent="0.2">
      <c r="B33" s="31" t="s">
        <v>142</v>
      </c>
    </row>
    <row r="34" spans="2:2" x14ac:dyDescent="0.2">
      <c r="B34" s="31" t="s">
        <v>136</v>
      </c>
    </row>
    <row r="35" spans="2:2" x14ac:dyDescent="0.2">
      <c r="B35" s="31" t="s">
        <v>137</v>
      </c>
    </row>
    <row r="36" spans="2:2" x14ac:dyDescent="0.2">
      <c r="B36" s="31" t="s">
        <v>138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DAD7-B3FD-4340-A438-67E4C3210CEC}">
  <dimension ref="A1:DR108"/>
  <sheetViews>
    <sheetView tabSelected="1" zoomScaleNormal="100" workbookViewId="0">
      <pane xSplit="2" ySplit="1" topLeftCell="T33" activePane="bottomRight" state="frozen"/>
      <selection pane="topRight" activeCell="B1" sqref="B1"/>
      <selection pane="bottomLeft" activeCell="A2" sqref="A2"/>
      <selection pane="bottomRight" activeCell="AC56" sqref="AC56"/>
    </sheetView>
  </sheetViews>
  <sheetFormatPr defaultRowHeight="14.25" x14ac:dyDescent="0.2"/>
  <cols>
    <col min="1" max="1" width="6" style="8" customWidth="1"/>
    <col min="2" max="2" width="21.5703125" style="8" customWidth="1"/>
    <col min="3" max="20" width="9.140625" style="8"/>
    <col min="21" max="21" width="10.85546875" style="8" bestFit="1" customWidth="1"/>
    <col min="22" max="22" width="10.85546875" style="8" customWidth="1"/>
    <col min="23" max="25" width="9.140625" style="8"/>
    <col min="26" max="26" width="11" style="8" customWidth="1"/>
    <col min="27" max="29" width="9.140625" style="8"/>
    <col min="30" max="30" width="9.140625" style="8" customWidth="1"/>
    <col min="31" max="16384" width="9.140625" style="8"/>
  </cols>
  <sheetData>
    <row r="1" spans="1:31" x14ac:dyDescent="0.2">
      <c r="A1" s="1" t="s">
        <v>48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34</v>
      </c>
      <c r="L1" s="8" t="s">
        <v>35</v>
      </c>
      <c r="M1" s="8" t="s">
        <v>46</v>
      </c>
      <c r="N1" s="8" t="s">
        <v>47</v>
      </c>
      <c r="P1" s="9">
        <v>2020</v>
      </c>
      <c r="Q1" s="9">
        <v>2021</v>
      </c>
      <c r="R1" s="9">
        <v>2022</v>
      </c>
      <c r="S1" s="9">
        <v>2023</v>
      </c>
      <c r="T1" s="9">
        <v>2024</v>
      </c>
      <c r="U1" s="10">
        <f t="shared" ref="U1:Z1" si="0">T1+1</f>
        <v>2025</v>
      </c>
      <c r="V1" s="9">
        <f t="shared" si="0"/>
        <v>2026</v>
      </c>
      <c r="W1" s="9">
        <f t="shared" si="0"/>
        <v>2027</v>
      </c>
      <c r="X1" s="9">
        <f t="shared" si="0"/>
        <v>2028</v>
      </c>
      <c r="Y1" s="9">
        <f t="shared" si="0"/>
        <v>2029</v>
      </c>
      <c r="Z1" s="9">
        <f t="shared" si="0"/>
        <v>2030</v>
      </c>
      <c r="AA1" s="9">
        <f t="shared" ref="AA1" si="1">Z1+1</f>
        <v>2031</v>
      </c>
      <c r="AB1" s="9">
        <f t="shared" ref="AB1" si="2">AA1+1</f>
        <v>2032</v>
      </c>
      <c r="AC1" s="9">
        <f t="shared" ref="AC1" si="3">AB1+1</f>
        <v>2033</v>
      </c>
      <c r="AD1" s="9">
        <f t="shared" ref="AD1" si="4">AC1+1</f>
        <v>2034</v>
      </c>
      <c r="AE1" s="9">
        <f t="shared" ref="AE1" si="5">AD1+1</f>
        <v>2035</v>
      </c>
    </row>
    <row r="2" spans="1:31" x14ac:dyDescent="0.2">
      <c r="A2" s="1"/>
      <c r="B2" s="8" t="s">
        <v>80</v>
      </c>
      <c r="C2" s="13">
        <v>0.76</v>
      </c>
      <c r="I2" s="13">
        <v>0.6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31" x14ac:dyDescent="0.2">
      <c r="A3" s="1"/>
      <c r="B3" s="8" t="s">
        <v>81</v>
      </c>
      <c r="C3" s="13">
        <v>0.11</v>
      </c>
      <c r="I3" s="13">
        <v>0.3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31" x14ac:dyDescent="0.2">
      <c r="A4" s="1"/>
      <c r="B4" s="8" t="s">
        <v>82</v>
      </c>
      <c r="C4" s="13">
        <v>0.13</v>
      </c>
      <c r="I4" s="13">
        <v>0.1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31" x14ac:dyDescent="0.2">
      <c r="A5" s="1"/>
      <c r="E5" s="13"/>
      <c r="I5" s="13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31" x14ac:dyDescent="0.2">
      <c r="A6" s="1"/>
      <c r="B6" s="22" t="s">
        <v>107</v>
      </c>
      <c r="E6" s="13"/>
      <c r="I6" s="13"/>
      <c r="P6" s="9"/>
      <c r="Q6" s="9"/>
      <c r="R6" s="9"/>
      <c r="S6" s="9"/>
      <c r="T6" s="8">
        <v>14593</v>
      </c>
      <c r="U6" s="8">
        <v>14020</v>
      </c>
      <c r="V6" s="9"/>
      <c r="W6" s="9"/>
      <c r="X6" s="9"/>
      <c r="Y6" s="9"/>
      <c r="Z6" s="9"/>
    </row>
    <row r="7" spans="1:31" x14ac:dyDescent="0.2">
      <c r="A7" s="1"/>
      <c r="B7" s="21" t="s">
        <v>103</v>
      </c>
      <c r="E7" s="13"/>
      <c r="I7" s="13"/>
      <c r="P7" s="9"/>
      <c r="Q7" s="9"/>
      <c r="R7" s="9"/>
      <c r="S7" s="9"/>
      <c r="T7" s="8">
        <v>17624</v>
      </c>
      <c r="U7" s="8">
        <v>27136</v>
      </c>
      <c r="V7" s="8">
        <f>U7+6000</f>
        <v>33136</v>
      </c>
      <c r="W7" s="9"/>
      <c r="X7" s="9"/>
      <c r="Y7" s="9"/>
      <c r="Z7" s="9"/>
    </row>
    <row r="8" spans="1:31" x14ac:dyDescent="0.2">
      <c r="A8" s="1"/>
      <c r="B8" s="21" t="s">
        <v>104</v>
      </c>
      <c r="E8" s="13"/>
      <c r="I8" s="13"/>
      <c r="P8" s="9"/>
      <c r="Q8" s="9"/>
      <c r="R8" s="9"/>
      <c r="S8" s="8">
        <v>15137</v>
      </c>
      <c r="T8" s="8">
        <v>13926</v>
      </c>
      <c r="U8" s="8">
        <v>15931</v>
      </c>
      <c r="V8" s="8">
        <f>U8*1.2</f>
        <v>19117.2</v>
      </c>
      <c r="W8" s="9"/>
      <c r="X8" s="9"/>
      <c r="Y8" s="9"/>
      <c r="Z8" s="9"/>
    </row>
    <row r="9" spans="1:31" x14ac:dyDescent="0.2">
      <c r="A9" s="1"/>
      <c r="B9" s="22" t="s">
        <v>109</v>
      </c>
      <c r="E9" s="13"/>
      <c r="I9" s="13"/>
      <c r="P9" s="9"/>
      <c r="Q9" s="9"/>
      <c r="R9" s="9"/>
      <c r="S9" s="8">
        <v>7100</v>
      </c>
      <c r="T9" s="8">
        <v>9800</v>
      </c>
      <c r="U9" s="8">
        <v>10000</v>
      </c>
      <c r="W9" s="9"/>
      <c r="X9" s="9"/>
      <c r="Y9" s="9"/>
      <c r="Z9" s="9"/>
    </row>
    <row r="10" spans="1:31" x14ac:dyDescent="0.2">
      <c r="A10" s="1"/>
      <c r="B10" s="22"/>
      <c r="E10" s="13"/>
      <c r="I10" s="13"/>
      <c r="P10" s="9"/>
      <c r="Q10" s="9"/>
      <c r="R10" s="9"/>
      <c r="W10" s="9"/>
      <c r="X10" s="9"/>
      <c r="Y10" s="9"/>
      <c r="Z10" s="9"/>
    </row>
    <row r="11" spans="1:31" x14ac:dyDescent="0.2">
      <c r="A11" s="1"/>
      <c r="B11" s="22" t="s">
        <v>108</v>
      </c>
      <c r="E11" s="13"/>
      <c r="I11" s="13"/>
      <c r="P11" s="9"/>
      <c r="Q11" s="9"/>
      <c r="R11" s="9"/>
      <c r="S11" s="13"/>
      <c r="T11" s="14"/>
      <c r="U11" s="14">
        <v>0.10100000000000001</v>
      </c>
      <c r="V11" s="9"/>
      <c r="W11" s="9"/>
      <c r="X11" s="9"/>
      <c r="Y11" s="9"/>
      <c r="Z11" s="9"/>
    </row>
    <row r="12" spans="1:31" x14ac:dyDescent="0.2">
      <c r="A12" s="1"/>
      <c r="B12" s="22" t="s">
        <v>105</v>
      </c>
      <c r="E12" s="13"/>
      <c r="I12" s="13"/>
      <c r="P12" s="9"/>
      <c r="Q12" s="9"/>
      <c r="R12" s="9"/>
      <c r="S12" s="9"/>
      <c r="T12" s="14">
        <v>0.126</v>
      </c>
      <c r="U12" s="14">
        <v>0.128</v>
      </c>
      <c r="V12" s="14">
        <v>0.11799999999999999</v>
      </c>
      <c r="W12" s="9"/>
      <c r="X12" s="9"/>
      <c r="Y12" s="9"/>
      <c r="Z12" s="9"/>
    </row>
    <row r="13" spans="1:31" x14ac:dyDescent="0.2">
      <c r="A13" s="1"/>
      <c r="B13" s="22" t="s">
        <v>106</v>
      </c>
      <c r="E13" s="13"/>
      <c r="I13" s="13"/>
      <c r="P13" s="9"/>
      <c r="Q13" s="9"/>
      <c r="R13" s="9"/>
      <c r="S13" s="14">
        <v>0.125</v>
      </c>
      <c r="T13" s="14">
        <v>0.124</v>
      </c>
      <c r="U13" s="14">
        <v>0.112</v>
      </c>
      <c r="V13" s="14">
        <v>0.11</v>
      </c>
      <c r="W13" s="9"/>
      <c r="X13" s="9"/>
      <c r="Y13" s="9"/>
      <c r="Z13" s="9"/>
    </row>
    <row r="14" spans="1:31" x14ac:dyDescent="0.2">
      <c r="A14" s="1"/>
      <c r="B14" s="22" t="s">
        <v>110</v>
      </c>
      <c r="E14" s="13"/>
      <c r="I14" s="13"/>
      <c r="P14" s="9"/>
      <c r="Q14" s="9"/>
      <c r="R14" s="9"/>
      <c r="S14" s="14">
        <v>0.17</v>
      </c>
      <c r="T14" s="14">
        <v>0.17</v>
      </c>
      <c r="U14" s="14">
        <v>0.16700000000000001</v>
      </c>
      <c r="V14" s="14">
        <v>0.15</v>
      </c>
      <c r="W14" s="9"/>
      <c r="X14" s="9"/>
      <c r="Y14" s="9"/>
      <c r="Z14" s="9"/>
    </row>
    <row r="15" spans="1:31" x14ac:dyDescent="0.2">
      <c r="A15" s="1"/>
      <c r="E15" s="13"/>
      <c r="I15" s="13"/>
      <c r="P15" s="9"/>
      <c r="Q15" s="9"/>
      <c r="R15" s="9"/>
      <c r="S15" s="9"/>
      <c r="T15" s="13"/>
      <c r="U15" s="13"/>
      <c r="V15" s="9"/>
      <c r="W15" s="9"/>
      <c r="X15" s="9"/>
      <c r="Y15" s="9"/>
      <c r="Z15" s="9"/>
    </row>
    <row r="16" spans="1:31" x14ac:dyDescent="0.2">
      <c r="A16" s="1"/>
      <c r="B16" s="8" t="s">
        <v>93</v>
      </c>
      <c r="I16" s="13"/>
      <c r="P16" s="9"/>
      <c r="Q16" s="9"/>
      <c r="R16" s="9"/>
      <c r="S16" s="9"/>
      <c r="T16" s="9"/>
      <c r="U16" s="9"/>
      <c r="V16" s="8">
        <f>SUM(V17:V21)</f>
        <v>336000</v>
      </c>
      <c r="W16" s="8">
        <f t="shared" ref="W16:Z16" si="6">SUM(W17:W21)</f>
        <v>352800</v>
      </c>
      <c r="X16" s="8">
        <f t="shared" si="6"/>
        <v>370440</v>
      </c>
      <c r="Y16" s="8">
        <f t="shared" si="6"/>
        <v>388962</v>
      </c>
      <c r="Z16" s="8">
        <f t="shared" si="6"/>
        <v>408410.1</v>
      </c>
    </row>
    <row r="17" spans="1:26" x14ac:dyDescent="0.2">
      <c r="A17" s="1"/>
      <c r="B17" s="8" t="s">
        <v>98</v>
      </c>
      <c r="V17" s="8">
        <v>75000</v>
      </c>
      <c r="W17" s="8">
        <f>V17*1.05</f>
        <v>78750</v>
      </c>
      <c r="X17" s="8">
        <f t="shared" ref="X17:Z17" si="7">W17*1.05</f>
        <v>82687.5</v>
      </c>
      <c r="Y17" s="8">
        <f t="shared" si="7"/>
        <v>86821.875</v>
      </c>
      <c r="Z17" s="8">
        <f t="shared" si="7"/>
        <v>91162.96875</v>
      </c>
    </row>
    <row r="18" spans="1:26" x14ac:dyDescent="0.2">
      <c r="A18" s="1"/>
      <c r="B18" s="8" t="s">
        <v>97</v>
      </c>
      <c r="V18" s="8">
        <v>80000</v>
      </c>
      <c r="W18" s="8">
        <f t="shared" ref="W18:Z21" si="8">V18*1.05</f>
        <v>84000</v>
      </c>
      <c r="X18" s="8">
        <f t="shared" si="8"/>
        <v>88200</v>
      </c>
      <c r="Y18" s="8">
        <f t="shared" si="8"/>
        <v>92610</v>
      </c>
      <c r="Z18" s="8">
        <f t="shared" si="8"/>
        <v>97240.5</v>
      </c>
    </row>
    <row r="19" spans="1:26" x14ac:dyDescent="0.2">
      <c r="A19" s="1"/>
      <c r="B19" s="8" t="s">
        <v>96</v>
      </c>
      <c r="V19" s="8">
        <v>100000</v>
      </c>
      <c r="W19" s="8">
        <f t="shared" si="8"/>
        <v>105000</v>
      </c>
      <c r="X19" s="8">
        <f t="shared" si="8"/>
        <v>110250</v>
      </c>
      <c r="Y19" s="8">
        <f t="shared" si="8"/>
        <v>115762.5</v>
      </c>
      <c r="Z19" s="8">
        <f t="shared" si="8"/>
        <v>121550.625</v>
      </c>
    </row>
    <row r="20" spans="1:26" x14ac:dyDescent="0.2">
      <c r="A20" s="1"/>
      <c r="B20" s="26" t="s">
        <v>116</v>
      </c>
      <c r="V20" s="8">
        <v>65000</v>
      </c>
      <c r="W20" s="8">
        <f t="shared" si="8"/>
        <v>68250</v>
      </c>
      <c r="X20" s="8">
        <f t="shared" ref="X20" si="9">W20*1.05</f>
        <v>71662.5</v>
      </c>
      <c r="Y20" s="8">
        <f t="shared" ref="Y20" si="10">X20*1.05</f>
        <v>75245.625</v>
      </c>
      <c r="Z20" s="8">
        <f t="shared" ref="Z20" si="11">Y20*1.05</f>
        <v>79007.90625</v>
      </c>
    </row>
    <row r="21" spans="1:26" x14ac:dyDescent="0.2">
      <c r="A21" s="1"/>
      <c r="B21" s="8" t="s">
        <v>95</v>
      </c>
      <c r="V21" s="8">
        <v>16000</v>
      </c>
      <c r="W21" s="8">
        <f t="shared" si="8"/>
        <v>16800</v>
      </c>
      <c r="X21" s="8">
        <f t="shared" si="8"/>
        <v>17640</v>
      </c>
      <c r="Y21" s="8">
        <f t="shared" si="8"/>
        <v>18522</v>
      </c>
      <c r="Z21" s="8">
        <f t="shared" si="8"/>
        <v>19448.100000000002</v>
      </c>
    </row>
    <row r="22" spans="1:26" x14ac:dyDescent="0.2">
      <c r="A22" s="1"/>
      <c r="B22" s="8" t="s">
        <v>94</v>
      </c>
      <c r="J22" s="8">
        <v>500</v>
      </c>
      <c r="S22" s="13" t="e">
        <f t="shared" ref="S22:Z22" si="12">S39/S16</f>
        <v>#DIV/0!</v>
      </c>
      <c r="T22" s="13" t="e">
        <f t="shared" si="12"/>
        <v>#DIV/0!</v>
      </c>
      <c r="U22" s="13" t="e">
        <f t="shared" si="12"/>
        <v>#DIV/0!</v>
      </c>
      <c r="V22" s="13">
        <f t="shared" si="12"/>
        <v>0.11904761904761904</v>
      </c>
      <c r="W22" s="13">
        <f t="shared" si="12"/>
        <v>0.12471655328798185</v>
      </c>
      <c r="X22" s="13">
        <f t="shared" si="12"/>
        <v>0.13065543677788577</v>
      </c>
      <c r="Y22" s="13">
        <f t="shared" si="12"/>
        <v>0.1368771242434994</v>
      </c>
      <c r="Z22" s="13">
        <f t="shared" si="12"/>
        <v>0.14339508254080893</v>
      </c>
    </row>
    <row r="23" spans="1:26" x14ac:dyDescent="0.2">
      <c r="A23" s="1"/>
      <c r="J23" s="13">
        <f>J22/I26</f>
        <v>4.3859649122807015E-2</v>
      </c>
    </row>
    <row r="24" spans="1:26" x14ac:dyDescent="0.2">
      <c r="A24" s="1"/>
      <c r="B24" s="8" t="s">
        <v>99</v>
      </c>
      <c r="I24" s="13">
        <f>I39/I26</f>
        <v>0.40350877192982454</v>
      </c>
      <c r="S24" s="13">
        <f t="shared" ref="S24:Z24" si="13">S39/S25</f>
        <v>0.26382962962962964</v>
      </c>
      <c r="T24" s="13">
        <f t="shared" si="13"/>
        <v>0.24572459016393444</v>
      </c>
      <c r="U24" s="13">
        <f t="shared" si="13"/>
        <v>0.17088461538461538</v>
      </c>
      <c r="V24" s="13">
        <f t="shared" si="13"/>
        <v>0.2</v>
      </c>
      <c r="W24" s="13">
        <f t="shared" si="13"/>
        <v>0.16541353383458646</v>
      </c>
      <c r="X24" s="13">
        <f t="shared" si="13"/>
        <v>0.13672316384180794</v>
      </c>
      <c r="Y24" s="13">
        <f t="shared" si="13"/>
        <v>0.11327659574468088</v>
      </c>
      <c r="Z24" s="13">
        <f t="shared" si="13"/>
        <v>9.3702400000000033E-2</v>
      </c>
    </row>
    <row r="25" spans="1:26" x14ac:dyDescent="0.2">
      <c r="A25" s="1"/>
      <c r="B25" s="8" t="s">
        <v>73</v>
      </c>
      <c r="I25" s="13"/>
      <c r="S25" s="8">
        <v>27000</v>
      </c>
      <c r="T25" s="8">
        <v>61000</v>
      </c>
      <c r="U25" s="8">
        <v>130000</v>
      </c>
      <c r="V25" s="8">
        <v>200000</v>
      </c>
      <c r="W25" s="8">
        <v>266000</v>
      </c>
      <c r="X25" s="8">
        <v>354000</v>
      </c>
      <c r="Y25" s="8">
        <v>470000</v>
      </c>
      <c r="Z25" s="8">
        <v>625000</v>
      </c>
    </row>
    <row r="26" spans="1:26" x14ac:dyDescent="0.2">
      <c r="A26" s="1"/>
      <c r="B26" s="8" t="s">
        <v>74</v>
      </c>
      <c r="I26" s="8">
        <v>11400</v>
      </c>
    </row>
    <row r="27" spans="1:26" x14ac:dyDescent="0.2">
      <c r="A27" s="1"/>
      <c r="B27" s="8" t="s">
        <v>76</v>
      </c>
    </row>
    <row r="28" spans="1:26" x14ac:dyDescent="0.2">
      <c r="A28" s="1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">
      <c r="A29" s="1"/>
      <c r="B29" s="8" t="s">
        <v>78</v>
      </c>
      <c r="E29" s="8">
        <f>I29*0.97</f>
        <v>1843</v>
      </c>
      <c r="H29" s="8">
        <f>H39*0.25</f>
        <v>1419.5</v>
      </c>
      <c r="I29" s="8">
        <v>1900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">
      <c r="A30" s="1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">
      <c r="A31" s="1"/>
      <c r="B31" s="27" t="s">
        <v>134</v>
      </c>
      <c r="P31" s="9"/>
      <c r="Q31" s="9"/>
      <c r="R31" s="9"/>
      <c r="S31" s="9"/>
      <c r="T31" s="9"/>
      <c r="U31" s="8">
        <f>U33/0.15-U33</f>
        <v>22666.666666666668</v>
      </c>
      <c r="V31" s="8">
        <f>V33/0.3-V33</f>
        <v>21000</v>
      </c>
    </row>
    <row r="32" spans="1:26" x14ac:dyDescent="0.2">
      <c r="A32" s="1"/>
      <c r="B32" s="27" t="s">
        <v>135</v>
      </c>
      <c r="P32" s="9"/>
      <c r="Q32" s="9"/>
      <c r="R32" s="9"/>
      <c r="S32" s="9"/>
      <c r="T32" s="9"/>
      <c r="U32" s="30">
        <f>U37/U31</f>
        <v>0.36242647058823529</v>
      </c>
      <c r="V32" s="30">
        <f>V37/V31</f>
        <v>0.61904761904761907</v>
      </c>
      <c r="W32" s="30"/>
      <c r="X32" s="30"/>
      <c r="Y32" s="30"/>
      <c r="Z32" s="30"/>
    </row>
    <row r="33" spans="1:26" x14ac:dyDescent="0.2">
      <c r="A33" s="1"/>
      <c r="B33" s="24" t="s">
        <v>111</v>
      </c>
      <c r="P33" s="9"/>
      <c r="Q33" s="9"/>
      <c r="R33" s="9"/>
      <c r="S33" s="9"/>
      <c r="T33" s="9"/>
      <c r="U33" s="8">
        <v>4000</v>
      </c>
      <c r="V33" s="8">
        <v>9000</v>
      </c>
    </row>
    <row r="34" spans="1:26" x14ac:dyDescent="0.2">
      <c r="A34" s="1"/>
      <c r="B34" s="27" t="s">
        <v>133</v>
      </c>
      <c r="P34" s="9"/>
      <c r="Q34" s="9"/>
      <c r="R34" s="9"/>
      <c r="S34" s="9"/>
      <c r="T34" s="9"/>
      <c r="U34" s="30">
        <v>3.5</v>
      </c>
      <c r="V34" s="30">
        <v>3</v>
      </c>
      <c r="W34" s="30"/>
      <c r="X34" s="30"/>
      <c r="Y34" s="30"/>
      <c r="Z34" s="30"/>
    </row>
    <row r="35" spans="1:26" x14ac:dyDescent="0.2">
      <c r="A35" s="1"/>
      <c r="B35" s="24"/>
      <c r="P35" s="9"/>
      <c r="Q35" s="9"/>
      <c r="R35" s="9"/>
      <c r="S35" s="9"/>
      <c r="T35" s="9"/>
    </row>
    <row r="36" spans="1:26" x14ac:dyDescent="0.2">
      <c r="A36" s="1"/>
      <c r="B36" s="27" t="s">
        <v>132</v>
      </c>
      <c r="I36" s="13"/>
      <c r="P36" s="9"/>
      <c r="Q36" s="9"/>
      <c r="R36" s="9"/>
      <c r="S36" s="9"/>
      <c r="T36" s="9"/>
      <c r="U36" s="8">
        <f>U34*U33</f>
        <v>14000</v>
      </c>
      <c r="V36" s="8">
        <f>V34*V33</f>
        <v>27000</v>
      </c>
    </row>
    <row r="37" spans="1:26" s="19" customFormat="1" ht="15" x14ac:dyDescent="0.25">
      <c r="A37" s="2"/>
      <c r="B37" s="27" t="s">
        <v>101</v>
      </c>
      <c r="U37" s="19">
        <f>U39-U36</f>
        <v>8215</v>
      </c>
      <c r="V37" s="19">
        <f>V39-V36</f>
        <v>13000</v>
      </c>
    </row>
    <row r="38" spans="1:26" s="2" customFormat="1" ht="15" x14ac:dyDescent="0.25">
      <c r="B38" s="19"/>
      <c r="V38" s="19"/>
      <c r="W38" s="19"/>
      <c r="X38" s="19"/>
      <c r="Y38" s="19"/>
      <c r="Z38" s="19"/>
    </row>
    <row r="39" spans="1:26" s="2" customFormat="1" ht="15" x14ac:dyDescent="0.25">
      <c r="B39" s="2" t="s">
        <v>7</v>
      </c>
      <c r="C39" s="19">
        <v>2119.6</v>
      </c>
      <c r="D39" s="19">
        <v>3664.9</v>
      </c>
      <c r="E39" s="19">
        <v>3850</v>
      </c>
      <c r="F39" s="19">
        <v>5308.2</v>
      </c>
      <c r="G39" s="19">
        <v>5937</v>
      </c>
      <c r="H39" s="19">
        <v>5678</v>
      </c>
      <c r="I39" s="19">
        <v>4600</v>
      </c>
      <c r="J39" s="19">
        <v>6000</v>
      </c>
      <c r="K39" s="19">
        <f>J39*1.2</f>
        <v>7200</v>
      </c>
      <c r="L39" s="19">
        <f>K39*1.03</f>
        <v>7416</v>
      </c>
      <c r="M39" s="19">
        <f>L39*1.03</f>
        <v>7638.4800000000005</v>
      </c>
      <c r="N39" s="19">
        <f>M39*1.4</f>
        <v>10693.871999999999</v>
      </c>
      <c r="O39" s="19">
        <f>SUM(K39:N39)</f>
        <v>32948.351999999999</v>
      </c>
      <c r="P39" s="19">
        <v>3339.3</v>
      </c>
      <c r="Q39" s="19">
        <v>3557.4</v>
      </c>
      <c r="R39" s="19">
        <v>5196.1000000000004</v>
      </c>
      <c r="S39" s="19">
        <v>7123.4</v>
      </c>
      <c r="T39" s="19">
        <v>14989.2</v>
      </c>
      <c r="U39" s="19">
        <f>SUM(G39:J39)</f>
        <v>22215</v>
      </c>
      <c r="V39" s="19">
        <v>40000</v>
      </c>
      <c r="W39" s="19">
        <f>V39*1.1</f>
        <v>44000</v>
      </c>
      <c r="X39" s="19">
        <f t="shared" ref="X39:Z39" si="14">W39*1.1</f>
        <v>48400.000000000007</v>
      </c>
      <c r="Y39" s="19">
        <f t="shared" si="14"/>
        <v>53240.000000000015</v>
      </c>
      <c r="Z39" s="19">
        <f t="shared" si="14"/>
        <v>58564.000000000022</v>
      </c>
    </row>
    <row r="40" spans="1:26" x14ac:dyDescent="0.2">
      <c r="B40" s="8" t="s">
        <v>21</v>
      </c>
      <c r="C40" s="8">
        <v>353.6</v>
      </c>
      <c r="D40" s="8">
        <v>3100.6</v>
      </c>
      <c r="E40" s="8">
        <v>3252.7</v>
      </c>
      <c r="F40" s="8">
        <v>4711.8999999999996</v>
      </c>
      <c r="G40" s="8">
        <v>5161.6000000000004</v>
      </c>
      <c r="H40" s="8">
        <v>5007.8999999999996</v>
      </c>
      <c r="I40" s="8">
        <v>4159</v>
      </c>
      <c r="J40" s="8">
        <f>J39*(1-J59)</f>
        <v>5280</v>
      </c>
      <c r="K40" s="8">
        <f>K39*(1-K59)</f>
        <v>6336</v>
      </c>
      <c r="L40" s="8">
        <f>L39*(1-L59)</f>
        <v>6526.08</v>
      </c>
      <c r="M40" s="8">
        <f>M39*(1-M59)</f>
        <v>6721.8624000000009</v>
      </c>
      <c r="N40" s="8">
        <f>N39*(1-N59)</f>
        <v>9410.60736</v>
      </c>
      <c r="P40" s="8">
        <v>2813.1</v>
      </c>
      <c r="Q40" s="8">
        <v>3022.9</v>
      </c>
      <c r="R40" s="8">
        <v>4396.1000000000004</v>
      </c>
      <c r="S40" s="8">
        <v>5840.4</v>
      </c>
      <c r="T40" s="8">
        <v>12927.8</v>
      </c>
      <c r="U40" s="8">
        <f>SUM(G40:J40)</f>
        <v>19608.5</v>
      </c>
      <c r="V40" s="8">
        <f>V39*(1-V59)</f>
        <v>35000</v>
      </c>
      <c r="W40" s="8">
        <f t="shared" ref="W40:Z40" si="15">W39*(1-W59)</f>
        <v>38390</v>
      </c>
      <c r="X40" s="8">
        <f t="shared" si="15"/>
        <v>42105.580000000009</v>
      </c>
      <c r="Y40" s="8">
        <f t="shared" si="15"/>
        <v>46318.80000000001</v>
      </c>
      <c r="Z40" s="8">
        <f t="shared" si="15"/>
        <v>50950.680000000022</v>
      </c>
    </row>
    <row r="41" spans="1:26" x14ac:dyDescent="0.2">
      <c r="B41" s="8" t="s">
        <v>22</v>
      </c>
      <c r="C41" s="8">
        <f t="shared" ref="C41:N41" si="16">C39-C40</f>
        <v>1766</v>
      </c>
      <c r="D41" s="8">
        <f t="shared" si="16"/>
        <v>564.30000000000018</v>
      </c>
      <c r="E41" s="8">
        <f t="shared" si="16"/>
        <v>597.30000000000018</v>
      </c>
      <c r="F41" s="8">
        <f t="shared" si="16"/>
        <v>596.30000000000018</v>
      </c>
      <c r="G41" s="8">
        <f t="shared" si="16"/>
        <v>775.39999999999964</v>
      </c>
      <c r="H41" s="8">
        <f t="shared" si="16"/>
        <v>670.10000000000036</v>
      </c>
      <c r="I41" s="8">
        <f t="shared" si="16"/>
        <v>441</v>
      </c>
      <c r="J41" s="8">
        <f t="shared" si="16"/>
        <v>720</v>
      </c>
      <c r="K41" s="8">
        <f t="shared" si="16"/>
        <v>864</v>
      </c>
      <c r="L41" s="8">
        <f t="shared" si="16"/>
        <v>889.92000000000007</v>
      </c>
      <c r="M41" s="8">
        <f t="shared" si="16"/>
        <v>916.61759999999958</v>
      </c>
      <c r="N41" s="8">
        <f t="shared" si="16"/>
        <v>1283.2646399999994</v>
      </c>
      <c r="P41" s="8">
        <f t="shared" ref="P41:V41" si="17">P39-P40</f>
        <v>526.20000000000027</v>
      </c>
      <c r="Q41" s="8">
        <f t="shared" si="17"/>
        <v>534.5</v>
      </c>
      <c r="R41" s="8">
        <f t="shared" si="17"/>
        <v>800</v>
      </c>
      <c r="S41" s="8">
        <f t="shared" si="17"/>
        <v>1283</v>
      </c>
      <c r="T41" s="8">
        <f t="shared" si="17"/>
        <v>2061.4000000000015</v>
      </c>
      <c r="U41" s="8">
        <f t="shared" si="17"/>
        <v>2606.5</v>
      </c>
      <c r="V41" s="8">
        <f t="shared" si="17"/>
        <v>5000</v>
      </c>
      <c r="W41" s="8">
        <f t="shared" ref="W41:Z41" si="18">W39-W40</f>
        <v>5610</v>
      </c>
      <c r="X41" s="8">
        <f t="shared" si="18"/>
        <v>6294.4199999999983</v>
      </c>
      <c r="Y41" s="8">
        <f t="shared" si="18"/>
        <v>6921.2000000000044</v>
      </c>
      <c r="Z41" s="8">
        <f t="shared" si="18"/>
        <v>7613.32</v>
      </c>
    </row>
    <row r="42" spans="1:26" x14ac:dyDescent="0.2">
      <c r="B42" s="8" t="s">
        <v>11</v>
      </c>
      <c r="C42" s="8">
        <v>111</v>
      </c>
      <c r="D42" s="8">
        <v>108.8</v>
      </c>
      <c r="E42" s="8">
        <v>116.2</v>
      </c>
      <c r="F42" s="8">
        <v>126.9</v>
      </c>
      <c r="G42" s="8">
        <v>132.19999999999999</v>
      </c>
      <c r="H42" s="8">
        <v>158.19999999999999</v>
      </c>
      <c r="I42" s="8">
        <v>162.9</v>
      </c>
      <c r="J42" s="8">
        <f>I42*(1+J56)</f>
        <v>212.47826086956522</v>
      </c>
      <c r="K42" s="8">
        <f t="shared" ref="K42:L42" si="19">J42*1.01</f>
        <v>214.60304347826087</v>
      </c>
      <c r="L42" s="8">
        <f t="shared" si="19"/>
        <v>216.74907391304347</v>
      </c>
      <c r="M42" s="8">
        <f t="shared" ref="M42" si="20">L42*1.01</f>
        <v>218.91656465217392</v>
      </c>
      <c r="N42" s="8">
        <f t="shared" ref="N42" si="21">M42*1.01</f>
        <v>221.10573029869565</v>
      </c>
      <c r="P42" s="8">
        <v>221.5</v>
      </c>
      <c r="Q42" s="8">
        <v>224.4</v>
      </c>
      <c r="R42" s="8">
        <v>272.3</v>
      </c>
      <c r="S42" s="8">
        <v>307.26</v>
      </c>
      <c r="T42" s="8">
        <v>463.5</v>
      </c>
      <c r="U42" s="8">
        <f>SUM(G42:J42)</f>
        <v>665.7782608695652</v>
      </c>
      <c r="V42" s="8">
        <f t="shared" ref="V42:Z42" si="22">U42*(1+V55)</f>
        <v>1198.7904764700702</v>
      </c>
      <c r="W42" s="8">
        <f t="shared" si="22"/>
        <v>1318.6695241170773</v>
      </c>
      <c r="X42" s="8">
        <f t="shared" si="22"/>
        <v>1450.5364765287852</v>
      </c>
      <c r="Y42" s="8">
        <f t="shared" si="22"/>
        <v>1595.5901241816639</v>
      </c>
      <c r="Z42" s="8">
        <f t="shared" si="22"/>
        <v>1755.1491365998304</v>
      </c>
    </row>
    <row r="43" spans="1:26" x14ac:dyDescent="0.2">
      <c r="B43" s="8" t="s">
        <v>24</v>
      </c>
      <c r="C43" s="8">
        <v>37.200000000000003</v>
      </c>
      <c r="D43" s="8">
        <v>46.8</v>
      </c>
      <c r="E43" s="8">
        <v>49.7</v>
      </c>
      <c r="F43" s="8">
        <v>55.7</v>
      </c>
      <c r="G43" s="8">
        <v>68.8</v>
      </c>
      <c r="H43" s="8">
        <v>79.5</v>
      </c>
      <c r="I43" s="8">
        <v>60</v>
      </c>
      <c r="J43" s="8">
        <f t="shared" ref="J43:L43" si="23">I43*(1+J56)</f>
        <v>78.260869565217391</v>
      </c>
      <c r="K43" s="8">
        <f t="shared" si="23"/>
        <v>93.91304347826086</v>
      </c>
      <c r="L43" s="8">
        <f t="shared" si="23"/>
        <v>96.730434782608683</v>
      </c>
      <c r="M43" s="8">
        <f t="shared" ref="M43" si="24">L43*(1+M56)</f>
        <v>99.632347826086942</v>
      </c>
      <c r="N43" s="8">
        <f t="shared" ref="N43" si="25">M43*(1+N56)</f>
        <v>139.48528695652172</v>
      </c>
      <c r="P43" s="8">
        <v>85.1</v>
      </c>
      <c r="Q43" s="8">
        <v>85.7</v>
      </c>
      <c r="R43" s="8">
        <v>90.1</v>
      </c>
      <c r="S43" s="8">
        <v>115</v>
      </c>
      <c r="T43" s="8">
        <v>189.7</v>
      </c>
      <c r="U43" s="8">
        <f>SUM(G43:J43)</f>
        <v>286.56086956521739</v>
      </c>
      <c r="V43" s="8">
        <f t="shared" ref="V43:Z43" si="26">U43*(1+V55)</f>
        <v>515.97725782618477</v>
      </c>
      <c r="W43" s="8">
        <f t="shared" si="26"/>
        <v>567.57498360880334</v>
      </c>
      <c r="X43" s="8">
        <f t="shared" si="26"/>
        <v>624.33248196968373</v>
      </c>
      <c r="Y43" s="8">
        <f t="shared" si="26"/>
        <v>686.76573016665213</v>
      </c>
      <c r="Z43" s="8">
        <f t="shared" si="26"/>
        <v>755.44230318331745</v>
      </c>
    </row>
    <row r="44" spans="1:26" x14ac:dyDescent="0.2">
      <c r="B44" s="8" t="s">
        <v>25</v>
      </c>
      <c r="C44" s="8">
        <v>33.9</v>
      </c>
      <c r="D44" s="8">
        <v>37.200000000000003</v>
      </c>
      <c r="E44" s="8">
        <v>53.1</v>
      </c>
      <c r="F44" s="8">
        <v>70.400000000000006</v>
      </c>
      <c r="G44" s="8">
        <v>65.2</v>
      </c>
      <c r="H44" s="8">
        <v>63.6</v>
      </c>
      <c r="I44" s="8">
        <v>70.599999999999994</v>
      </c>
      <c r="J44" s="8">
        <f t="shared" ref="J44:L44" si="27">I44*(1+J56)</f>
        <v>92.086956521739125</v>
      </c>
      <c r="K44" s="8">
        <f t="shared" si="27"/>
        <v>110.50434782608694</v>
      </c>
      <c r="L44" s="8">
        <f t="shared" si="27"/>
        <v>113.81947826086956</v>
      </c>
      <c r="M44" s="8">
        <f t="shared" ref="M44" si="28">L44*(1+M56)</f>
        <v>117.23406260869565</v>
      </c>
      <c r="N44" s="8">
        <f t="shared" ref="N44" si="29">M44*(1+N56)</f>
        <v>164.1276876521739</v>
      </c>
      <c r="P44" s="8">
        <v>134</v>
      </c>
      <c r="Q44" s="8">
        <v>100.5</v>
      </c>
      <c r="R44" s="8">
        <v>102.4</v>
      </c>
      <c r="S44" s="8">
        <v>99.5</v>
      </c>
      <c r="T44" s="8">
        <v>197.3</v>
      </c>
      <c r="U44" s="8">
        <f>SUM(G44:J44)</f>
        <v>291.4869565217391</v>
      </c>
      <c r="V44" s="8">
        <f t="shared" ref="V44:Z44" si="30">U44*(1+V55)</f>
        <v>524.84709704567024</v>
      </c>
      <c r="W44" s="8">
        <f t="shared" si="30"/>
        <v>577.33180675023732</v>
      </c>
      <c r="X44" s="8">
        <f t="shared" si="30"/>
        <v>635.06498742526105</v>
      </c>
      <c r="Y44" s="8">
        <f t="shared" si="30"/>
        <v>698.57148616778716</v>
      </c>
      <c r="Z44" s="8">
        <f t="shared" si="30"/>
        <v>768.42863478456593</v>
      </c>
    </row>
    <row r="45" spans="1:26" x14ac:dyDescent="0.2">
      <c r="B45" s="8" t="s">
        <v>26</v>
      </c>
      <c r="C45" s="8">
        <f>SUM(C42:C44)</f>
        <v>182.1</v>
      </c>
      <c r="D45" s="8">
        <f t="shared" ref="D45:F45" si="31">SUM(D42:D44)</f>
        <v>192.8</v>
      </c>
      <c r="E45" s="8">
        <f t="shared" si="31"/>
        <v>219</v>
      </c>
      <c r="F45" s="8">
        <f t="shared" si="31"/>
        <v>253.00000000000003</v>
      </c>
      <c r="G45" s="8">
        <f>SUM(G42:G44)</f>
        <v>266.2</v>
      </c>
      <c r="H45" s="8">
        <f>SUM(H42:H44)</f>
        <v>301.3</v>
      </c>
      <c r="I45" s="8">
        <f t="shared" ref="I45:L45" si="32">SUM(I42:I44)</f>
        <v>293.5</v>
      </c>
      <c r="J45" s="8">
        <f t="shared" si="32"/>
        <v>382.82608695652175</v>
      </c>
      <c r="K45" s="8">
        <f t="shared" si="32"/>
        <v>419.02043478260867</v>
      </c>
      <c r="L45" s="8">
        <f t="shared" si="32"/>
        <v>427.29898695652173</v>
      </c>
      <c r="M45" s="8">
        <f t="shared" ref="M45:N45" si="33">SUM(M42:M44)</f>
        <v>435.78297508695647</v>
      </c>
      <c r="N45" s="8">
        <f t="shared" si="33"/>
        <v>524.71870490739127</v>
      </c>
      <c r="P45" s="8">
        <f t="shared" ref="P45:R45" si="34">SUM(P42:P44)</f>
        <v>440.6</v>
      </c>
      <c r="Q45" s="8">
        <f t="shared" si="34"/>
        <v>410.6</v>
      </c>
      <c r="R45" s="8">
        <f t="shared" si="34"/>
        <v>464.79999999999995</v>
      </c>
      <c r="S45" s="8">
        <f t="shared" ref="S45:T45" si="35">SUM(S42:S44)</f>
        <v>521.76</v>
      </c>
      <c r="T45" s="8">
        <f t="shared" si="35"/>
        <v>850.5</v>
      </c>
      <c r="U45" s="8">
        <f t="shared" ref="U45:Z45" si="36">SUM(U42:U44)</f>
        <v>1243.8260869565217</v>
      </c>
      <c r="V45" s="8">
        <f t="shared" si="36"/>
        <v>2239.6148313419253</v>
      </c>
      <c r="W45" s="8">
        <f t="shared" si="36"/>
        <v>2463.5763144761181</v>
      </c>
      <c r="X45" s="8">
        <f t="shared" si="36"/>
        <v>2709.9339459237299</v>
      </c>
      <c r="Y45" s="8">
        <f t="shared" si="36"/>
        <v>2980.927340516103</v>
      </c>
      <c r="Z45" s="8">
        <f t="shared" si="36"/>
        <v>3279.0200745677139</v>
      </c>
    </row>
    <row r="46" spans="1:26" s="2" customFormat="1" ht="15" x14ac:dyDescent="0.25">
      <c r="B46" s="2" t="s">
        <v>27</v>
      </c>
      <c r="C46" s="2">
        <f>C41-C45</f>
        <v>1583.9</v>
      </c>
      <c r="D46" s="2">
        <f t="shared" ref="D46:F46" si="37">D41-D45</f>
        <v>371.50000000000017</v>
      </c>
      <c r="E46" s="2">
        <f t="shared" si="37"/>
        <v>378.30000000000018</v>
      </c>
      <c r="F46" s="2">
        <f t="shared" si="37"/>
        <v>343.30000000000018</v>
      </c>
      <c r="G46" s="2">
        <f>G41-G45</f>
        <v>509.19999999999965</v>
      </c>
      <c r="H46" s="2">
        <f>H41-H45</f>
        <v>368.80000000000035</v>
      </c>
      <c r="I46" s="2">
        <f t="shared" ref="I46:L46" si="38">I41-I45</f>
        <v>147.5</v>
      </c>
      <c r="J46" s="2">
        <f t="shared" si="38"/>
        <v>337.17391304347825</v>
      </c>
      <c r="K46" s="2">
        <f t="shared" si="38"/>
        <v>444.97956521739133</v>
      </c>
      <c r="L46" s="2">
        <f t="shared" si="38"/>
        <v>462.62101304347834</v>
      </c>
      <c r="M46" s="2">
        <f t="shared" ref="M46:N46" si="39">M41-M45</f>
        <v>480.83462491304311</v>
      </c>
      <c r="N46" s="2">
        <f t="shared" si="39"/>
        <v>758.54593509260815</v>
      </c>
      <c r="P46" s="2">
        <f t="shared" ref="P46:R46" si="40">P41-P45</f>
        <v>85.60000000000025</v>
      </c>
      <c r="Q46" s="2">
        <f t="shared" si="40"/>
        <v>123.89999999999998</v>
      </c>
      <c r="R46" s="2">
        <f t="shared" si="40"/>
        <v>335.20000000000005</v>
      </c>
      <c r="S46" s="2">
        <f t="shared" ref="S46:T46" si="41">S41-S45</f>
        <v>761.24</v>
      </c>
      <c r="T46" s="2">
        <f t="shared" si="41"/>
        <v>1210.9000000000015</v>
      </c>
      <c r="U46" s="2">
        <f t="shared" ref="U46:V46" si="42">U41-U45</f>
        <v>1362.6739130434783</v>
      </c>
      <c r="V46" s="2">
        <f t="shared" si="42"/>
        <v>2760.3851686580747</v>
      </c>
      <c r="W46" s="2">
        <f t="shared" ref="W46" si="43">W41-W45</f>
        <v>3146.4236855238819</v>
      </c>
      <c r="X46" s="2">
        <f t="shared" ref="X46" si="44">X41-X45</f>
        <v>3584.4860540762684</v>
      </c>
      <c r="Y46" s="2">
        <f t="shared" ref="Y46:Z46" si="45">Y41-Y45</f>
        <v>3940.2726594839014</v>
      </c>
      <c r="Z46" s="2">
        <f t="shared" si="45"/>
        <v>4334.2999254322858</v>
      </c>
    </row>
    <row r="47" spans="1:26" x14ac:dyDescent="0.2">
      <c r="B47" s="8" t="s">
        <v>32</v>
      </c>
      <c r="C47" s="8">
        <v>6.6</v>
      </c>
      <c r="D47" s="8">
        <v>-8</v>
      </c>
      <c r="E47" s="8">
        <v>10</v>
      </c>
      <c r="F47" s="8">
        <v>14</v>
      </c>
      <c r="G47" s="8">
        <v>7.2</v>
      </c>
      <c r="H47" s="8">
        <v>12.9</v>
      </c>
      <c r="I47" s="8">
        <v>-18.3</v>
      </c>
      <c r="P47" s="8">
        <v>1.4</v>
      </c>
      <c r="Q47" s="8">
        <v>-2.8</v>
      </c>
      <c r="R47" s="8">
        <v>8.1</v>
      </c>
      <c r="T47" s="8">
        <v>22.7</v>
      </c>
      <c r="U47" s="8">
        <f>SUM(G47:J47)</f>
        <v>1.8000000000000007</v>
      </c>
    </row>
    <row r="48" spans="1:26" x14ac:dyDescent="0.2">
      <c r="B48" s="8" t="s">
        <v>28</v>
      </c>
      <c r="C48" s="8">
        <v>-1.8</v>
      </c>
      <c r="D48" s="8">
        <v>-8</v>
      </c>
      <c r="E48" s="8">
        <v>-6.3</v>
      </c>
      <c r="F48" s="8">
        <v>-3.1</v>
      </c>
      <c r="G48" s="8">
        <v>-17.3</v>
      </c>
      <c r="H48" s="8">
        <v>-6.5</v>
      </c>
      <c r="I48" s="8">
        <v>-13.4</v>
      </c>
      <c r="J48" s="8">
        <f>I63*$AC$55/4</f>
        <v>-1.2270000000000028</v>
      </c>
      <c r="K48" s="8">
        <f>J63*$AC$55/4</f>
        <v>3.0563231413043455</v>
      </c>
      <c r="L48" s="8">
        <f>K63*$AC$55/4</f>
        <v>8.768780717877716</v>
      </c>
      <c r="M48" s="8">
        <f>L63*$AC$55/4</f>
        <v>14.779000588335006</v>
      </c>
      <c r="N48" s="8">
        <f>M63*$AC$55/4</f>
        <v>21.098074313477575</v>
      </c>
      <c r="P48" s="8">
        <v>-2.2000000000000002</v>
      </c>
      <c r="Q48" s="8">
        <v>-2.5</v>
      </c>
      <c r="R48" s="8">
        <v>-6.4</v>
      </c>
      <c r="T48" s="8">
        <v>-19.350000000000001</v>
      </c>
      <c r="U48" s="8">
        <f>SUM(G48:J48)</f>
        <v>-38.427000000000007</v>
      </c>
      <c r="V48" s="8">
        <f>U63*$AC$55</f>
        <v>12.225292565217382</v>
      </c>
      <c r="W48" s="8">
        <f>V63*$AC$55</f>
        <v>147.11352931591284</v>
      </c>
      <c r="X48" s="8">
        <f>W63*$AC$55</f>
        <v>308.85653219132826</v>
      </c>
      <c r="Y48" s="8">
        <f>X63*$AC$55</f>
        <v>501.59394635091462</v>
      </c>
      <c r="Z48" s="8">
        <f>Y63*$AC$55</f>
        <v>723.18683438288713</v>
      </c>
    </row>
    <row r="49" spans="2:92" x14ac:dyDescent="0.2">
      <c r="B49" s="8" t="s">
        <v>29</v>
      </c>
      <c r="C49" s="8">
        <f>C46+SUM(C47:C48)</f>
        <v>1588.7</v>
      </c>
      <c r="D49" s="8">
        <f t="shared" ref="D49:F49" si="46">D46+SUM(D47:D48)</f>
        <v>355.50000000000017</v>
      </c>
      <c r="E49" s="8">
        <f t="shared" si="46"/>
        <v>382.00000000000017</v>
      </c>
      <c r="F49" s="8">
        <f t="shared" si="46"/>
        <v>354.20000000000016</v>
      </c>
      <c r="G49" s="8">
        <f>G46+SUM(G47:G48)</f>
        <v>499.09999999999962</v>
      </c>
      <c r="H49" s="8">
        <f>H46+SUM(H47:H48)</f>
        <v>375.20000000000033</v>
      </c>
      <c r="I49" s="8">
        <f t="shared" ref="I49:L49" si="47">I46+SUM(I47:I48)</f>
        <v>115.8</v>
      </c>
      <c r="J49" s="8">
        <f t="shared" si="47"/>
        <v>335.94691304347828</v>
      </c>
      <c r="K49" s="8">
        <f t="shared" si="47"/>
        <v>448.03588835869567</v>
      </c>
      <c r="L49" s="8">
        <f t="shared" si="47"/>
        <v>471.38979376135603</v>
      </c>
      <c r="M49" s="8">
        <f t="shared" ref="M49:N49" si="48">M46+SUM(M47:M48)</f>
        <v>495.61362550137812</v>
      </c>
      <c r="N49" s="8">
        <f t="shared" si="48"/>
        <v>779.64400940608573</v>
      </c>
      <c r="P49" s="8">
        <f t="shared" ref="P49:R49" si="49">P46+SUM(P47:P48)</f>
        <v>84.800000000000253</v>
      </c>
      <c r="Q49" s="8">
        <f t="shared" si="49"/>
        <v>118.59999999999998</v>
      </c>
      <c r="R49" s="8">
        <f t="shared" si="49"/>
        <v>336.90000000000003</v>
      </c>
      <c r="S49" s="8">
        <f t="shared" ref="S49:T49" si="50">S46+SUM(S47:S48)</f>
        <v>761.24</v>
      </c>
      <c r="T49" s="8">
        <f t="shared" si="50"/>
        <v>1214.2500000000014</v>
      </c>
      <c r="U49" s="8">
        <f t="shared" ref="U49:V49" si="51">U46+SUM(U47:U48)</f>
        <v>1326.0469130434783</v>
      </c>
      <c r="V49" s="8">
        <f t="shared" si="51"/>
        <v>2772.6104612232921</v>
      </c>
      <c r="W49" s="8">
        <f t="shared" ref="W49" si="52">W46+SUM(W47:W48)</f>
        <v>3293.5372148397946</v>
      </c>
      <c r="X49" s="8">
        <f t="shared" ref="X49" si="53">X46+SUM(X47:X48)</f>
        <v>3893.3425862675967</v>
      </c>
      <c r="Y49" s="8">
        <f t="shared" ref="Y49:Z49" si="54">Y46+SUM(Y47:Y48)</f>
        <v>4441.8666058348163</v>
      </c>
      <c r="Z49" s="8">
        <f t="shared" si="54"/>
        <v>5057.4867598151732</v>
      </c>
    </row>
    <row r="50" spans="2:92" x14ac:dyDescent="0.2">
      <c r="B50" s="8" t="s">
        <v>30</v>
      </c>
      <c r="C50" s="8">
        <v>20.2</v>
      </c>
      <c r="D50" s="8">
        <v>-61.5</v>
      </c>
      <c r="E50" s="8">
        <v>-20</v>
      </c>
      <c r="F50" s="8">
        <v>1</v>
      </c>
      <c r="G50" s="8">
        <v>74.7</v>
      </c>
      <c r="H50" s="8">
        <v>56.9</v>
      </c>
      <c r="I50" s="8">
        <v>5.8</v>
      </c>
      <c r="J50" s="8">
        <f>J49*J57</f>
        <v>50.392036956521743</v>
      </c>
      <c r="K50" s="8">
        <f t="shared" ref="K50:N50" si="55">K49*K57</f>
        <v>67.205383253804342</v>
      </c>
      <c r="L50" s="8">
        <f t="shared" si="55"/>
        <v>70.708469064203399</v>
      </c>
      <c r="M50" s="8">
        <f t="shared" si="55"/>
        <v>74.342043825206716</v>
      </c>
      <c r="N50" s="8">
        <f t="shared" si="55"/>
        <v>116.94660141091285</v>
      </c>
      <c r="P50" s="8">
        <v>2.9</v>
      </c>
      <c r="Q50" s="8">
        <v>6.9</v>
      </c>
      <c r="R50" s="8">
        <v>52.9</v>
      </c>
      <c r="S50" s="8">
        <v>110.6</v>
      </c>
      <c r="T50" s="8">
        <v>63.3</v>
      </c>
      <c r="U50" s="8">
        <f>SUM(G50:J50)</f>
        <v>187.79203695652174</v>
      </c>
      <c r="V50" s="8">
        <f t="shared" ref="V50:Z50" si="56">V57*V46</f>
        <v>524.47318204503415</v>
      </c>
      <c r="W50" s="8">
        <f t="shared" si="56"/>
        <v>597.82050024953753</v>
      </c>
      <c r="X50" s="8">
        <f t="shared" si="56"/>
        <v>681.052350274491</v>
      </c>
      <c r="Y50" s="8">
        <f t="shared" si="56"/>
        <v>748.65180530194129</v>
      </c>
      <c r="Z50" s="8">
        <f t="shared" si="56"/>
        <v>823.51698583213431</v>
      </c>
    </row>
    <row r="51" spans="2:92" ht="15" x14ac:dyDescent="0.25">
      <c r="B51" s="2" t="s">
        <v>8</v>
      </c>
      <c r="C51" s="2">
        <f>C49-C50</f>
        <v>1568.5</v>
      </c>
      <c r="D51" s="2">
        <f t="shared" ref="D51:F51" si="57">D49-D50</f>
        <v>417.00000000000017</v>
      </c>
      <c r="E51" s="2">
        <f t="shared" si="57"/>
        <v>402.00000000000017</v>
      </c>
      <c r="F51" s="2">
        <f t="shared" si="57"/>
        <v>353.20000000000016</v>
      </c>
      <c r="G51" s="2">
        <f>G49-G50</f>
        <v>424.39999999999964</v>
      </c>
      <c r="H51" s="2">
        <f>H49-H50</f>
        <v>318.30000000000035</v>
      </c>
      <c r="I51" s="2">
        <f>I49-I50</f>
        <v>110</v>
      </c>
      <c r="J51" s="2">
        <f>J49-J50</f>
        <v>285.55487608695654</v>
      </c>
      <c r="K51" s="2">
        <f t="shared" ref="K51:L51" si="58">K49-K50</f>
        <v>380.83050510489136</v>
      </c>
      <c r="L51" s="2">
        <f t="shared" si="58"/>
        <v>400.6813246971526</v>
      </c>
      <c r="M51" s="2">
        <f t="shared" ref="M51:N51" si="59">M49-M50</f>
        <v>421.27158167617142</v>
      </c>
      <c r="N51" s="2">
        <f t="shared" si="59"/>
        <v>662.69740799517285</v>
      </c>
      <c r="O51" s="2"/>
      <c r="P51" s="2">
        <f t="shared" ref="P51:R51" si="60">P49-P50</f>
        <v>81.900000000000247</v>
      </c>
      <c r="Q51" s="2">
        <f t="shared" si="60"/>
        <v>111.69999999999997</v>
      </c>
      <c r="R51" s="2">
        <f t="shared" si="60"/>
        <v>284.00000000000006</v>
      </c>
      <c r="S51" s="2">
        <f t="shared" ref="S51:Y51" si="61">S49-S50</f>
        <v>650.64</v>
      </c>
      <c r="T51" s="2">
        <f t="shared" si="61"/>
        <v>1150.9500000000014</v>
      </c>
      <c r="U51" s="2">
        <f t="shared" si="61"/>
        <v>1138.2548760869565</v>
      </c>
      <c r="V51" s="2">
        <f t="shared" si="61"/>
        <v>2248.1372791782578</v>
      </c>
      <c r="W51" s="2">
        <f t="shared" si="61"/>
        <v>2695.7167145902572</v>
      </c>
      <c r="X51" s="2">
        <f t="shared" si="61"/>
        <v>3212.2902359931059</v>
      </c>
      <c r="Y51" s="2">
        <f t="shared" si="61"/>
        <v>3693.214800532875</v>
      </c>
      <c r="Z51" s="2">
        <f t="shared" ref="Z51" si="62">Z49-Z50</f>
        <v>4233.969773983039</v>
      </c>
      <c r="AA51" s="2">
        <f t="shared" ref="AA51:BF51" si="63">Z51*(1+$AC$56)</f>
        <v>4318.6491694627002</v>
      </c>
      <c r="AB51" s="2">
        <f t="shared" si="63"/>
        <v>4405.0221528519542</v>
      </c>
      <c r="AC51" s="2">
        <f t="shared" si="63"/>
        <v>4493.1225959089934</v>
      </c>
      <c r="AD51" s="2">
        <f t="shared" si="63"/>
        <v>4582.9850478271737</v>
      </c>
      <c r="AE51" s="2">
        <f t="shared" si="63"/>
        <v>4674.6447487837177</v>
      </c>
      <c r="AF51" s="2">
        <f t="shared" si="63"/>
        <v>4768.1376437593917</v>
      </c>
      <c r="AG51" s="2">
        <f t="shared" si="63"/>
        <v>4863.5003966345794</v>
      </c>
      <c r="AH51" s="2">
        <f t="shared" si="63"/>
        <v>4960.7704045672708</v>
      </c>
      <c r="AI51" s="2">
        <f t="shared" si="63"/>
        <v>5059.9858126586159</v>
      </c>
      <c r="AJ51" s="2">
        <f t="shared" si="63"/>
        <v>5161.1855289117884</v>
      </c>
      <c r="AK51" s="2">
        <f t="shared" si="63"/>
        <v>5264.4092394900244</v>
      </c>
      <c r="AL51" s="2">
        <f t="shared" si="63"/>
        <v>5369.6974242798251</v>
      </c>
      <c r="AM51" s="2">
        <f t="shared" si="63"/>
        <v>5477.0913727654215</v>
      </c>
      <c r="AN51" s="2">
        <f t="shared" si="63"/>
        <v>5586.63320022073</v>
      </c>
      <c r="AO51" s="2">
        <f t="shared" si="63"/>
        <v>5698.3658642251448</v>
      </c>
      <c r="AP51" s="2">
        <f t="shared" si="63"/>
        <v>5812.3331815096481</v>
      </c>
      <c r="AQ51" s="2">
        <f t="shared" si="63"/>
        <v>5928.5798451398414</v>
      </c>
      <c r="AR51" s="2">
        <f t="shared" si="63"/>
        <v>6047.1514420426383</v>
      </c>
      <c r="AS51" s="2">
        <f t="shared" si="63"/>
        <v>6168.0944708834913</v>
      </c>
      <c r="AT51" s="2">
        <f t="shared" si="63"/>
        <v>6291.4563603011611</v>
      </c>
      <c r="AU51" s="2">
        <f t="shared" si="63"/>
        <v>6417.2854875071844</v>
      </c>
      <c r="AV51" s="2">
        <f t="shared" si="63"/>
        <v>6545.6311972573285</v>
      </c>
      <c r="AW51" s="2">
        <f t="shared" si="63"/>
        <v>6676.5438212024756</v>
      </c>
      <c r="AX51" s="2">
        <f t="shared" si="63"/>
        <v>6810.0746976265254</v>
      </c>
      <c r="AY51" s="2">
        <f t="shared" si="63"/>
        <v>6946.2761915790561</v>
      </c>
      <c r="AZ51" s="2">
        <f t="shared" si="63"/>
        <v>7085.201715410637</v>
      </c>
      <c r="BA51" s="2">
        <f t="shared" si="63"/>
        <v>7226.9057497188496</v>
      </c>
      <c r="BB51" s="2">
        <f t="shared" si="63"/>
        <v>7371.4438647132265</v>
      </c>
      <c r="BC51" s="2">
        <f t="shared" si="63"/>
        <v>7518.8727420074911</v>
      </c>
      <c r="BD51" s="2">
        <f t="shared" si="63"/>
        <v>7669.2501968476408</v>
      </c>
      <c r="BE51" s="2">
        <f t="shared" si="63"/>
        <v>7822.6352007845935</v>
      </c>
      <c r="BF51" s="2">
        <f t="shared" si="63"/>
        <v>7979.0879048002853</v>
      </c>
      <c r="BG51" s="2">
        <f t="shared" ref="BG51:CN51" si="64">BF51*(1+$AC$56)</f>
        <v>8138.6696628962909</v>
      </c>
      <c r="BH51" s="2">
        <f t="shared" si="64"/>
        <v>8301.4430561542176</v>
      </c>
      <c r="BI51" s="2">
        <f t="shared" si="64"/>
        <v>8467.4719172773021</v>
      </c>
      <c r="BJ51" s="2">
        <f t="shared" si="64"/>
        <v>8636.8213556228475</v>
      </c>
      <c r="BK51" s="2">
        <f t="shared" si="64"/>
        <v>8809.5577827353045</v>
      </c>
      <c r="BL51" s="2">
        <f t="shared" si="64"/>
        <v>8985.7489383900102</v>
      </c>
      <c r="BM51" s="2">
        <f t="shared" si="64"/>
        <v>9165.463917157811</v>
      </c>
      <c r="BN51" s="2">
        <f t="shared" si="64"/>
        <v>9348.7731955009676</v>
      </c>
      <c r="BO51" s="2">
        <f t="shared" si="64"/>
        <v>9535.7486594109869</v>
      </c>
      <c r="BP51" s="2">
        <f t="shared" si="64"/>
        <v>9726.4636325992069</v>
      </c>
      <c r="BQ51" s="2">
        <f t="shared" si="64"/>
        <v>9920.9929052511907</v>
      </c>
      <c r="BR51" s="2">
        <f t="shared" si="64"/>
        <v>10119.412763356215</v>
      </c>
      <c r="BS51" s="2">
        <f t="shared" si="64"/>
        <v>10321.801018623339</v>
      </c>
      <c r="BT51" s="2">
        <f t="shared" si="64"/>
        <v>10528.237038995805</v>
      </c>
      <c r="BU51" s="2">
        <f t="shared" si="64"/>
        <v>10738.801779775722</v>
      </c>
      <c r="BV51" s="2">
        <f t="shared" si="64"/>
        <v>10953.577815371236</v>
      </c>
      <c r="BW51" s="2">
        <f t="shared" si="64"/>
        <v>11172.649371678661</v>
      </c>
      <c r="BX51" s="2">
        <f t="shared" si="64"/>
        <v>11396.102359112234</v>
      </c>
      <c r="BY51" s="2">
        <f t="shared" si="64"/>
        <v>11624.024406294478</v>
      </c>
      <c r="BZ51" s="2">
        <f t="shared" si="64"/>
        <v>11856.504894420368</v>
      </c>
      <c r="CA51" s="2">
        <f t="shared" si="64"/>
        <v>12093.634992308776</v>
      </c>
      <c r="CB51" s="2">
        <f t="shared" si="64"/>
        <v>12335.507692154952</v>
      </c>
      <c r="CC51" s="2">
        <f t="shared" si="64"/>
        <v>12582.217845998051</v>
      </c>
      <c r="CD51" s="2">
        <f t="shared" si="64"/>
        <v>12833.862202918013</v>
      </c>
      <c r="CE51" s="2">
        <f t="shared" si="64"/>
        <v>13090.539446976374</v>
      </c>
      <c r="CF51" s="2">
        <f t="shared" si="64"/>
        <v>13352.350235915901</v>
      </c>
      <c r="CG51" s="2">
        <f t="shared" si="64"/>
        <v>13619.39724063422</v>
      </c>
      <c r="CH51" s="2">
        <f t="shared" si="64"/>
        <v>13891.785185446905</v>
      </c>
      <c r="CI51" s="2">
        <f t="shared" si="64"/>
        <v>14169.620889155844</v>
      </c>
      <c r="CJ51" s="2">
        <f t="shared" si="64"/>
        <v>14453.013306938961</v>
      </c>
      <c r="CK51" s="2">
        <f t="shared" si="64"/>
        <v>14742.073573077741</v>
      </c>
      <c r="CL51" s="2">
        <f t="shared" si="64"/>
        <v>15036.915044539297</v>
      </c>
      <c r="CM51" s="2">
        <f t="shared" si="64"/>
        <v>15337.653345430082</v>
      </c>
      <c r="CN51" s="2">
        <f t="shared" si="64"/>
        <v>15644.406412338685</v>
      </c>
    </row>
    <row r="52" spans="2:92" x14ac:dyDescent="0.2">
      <c r="B52" s="8" t="s">
        <v>31</v>
      </c>
      <c r="C52" s="11">
        <f t="shared" ref="C52:N52" si="65">C51/C53</f>
        <v>2.9538606403013183</v>
      </c>
      <c r="D52" s="11">
        <f t="shared" si="65"/>
        <v>0.77079482439926095</v>
      </c>
      <c r="E52" s="11">
        <f t="shared" si="65"/>
        <v>0.71276595744680882</v>
      </c>
      <c r="F52" s="11">
        <f t="shared" si="65"/>
        <v>0.60170357751277714</v>
      </c>
      <c r="G52" s="11">
        <f t="shared" si="65"/>
        <v>0.71510292663118047</v>
      </c>
      <c r="H52" s="11">
        <f t="shared" si="65"/>
        <v>0.53632719497338643</v>
      </c>
      <c r="I52" s="11">
        <f t="shared" si="65"/>
        <v>0.18534712989969351</v>
      </c>
      <c r="J52" s="11">
        <f t="shared" si="65"/>
        <v>0.4547052166989754</v>
      </c>
      <c r="K52" s="11">
        <f t="shared" si="65"/>
        <v>0.6064180017593811</v>
      </c>
      <c r="L52" s="11">
        <f t="shared" si="65"/>
        <v>0.63802758709737672</v>
      </c>
      <c r="M52" s="11">
        <f t="shared" si="65"/>
        <v>0.67081462050345764</v>
      </c>
      <c r="N52" s="11">
        <f t="shared" si="65"/>
        <v>1.0552506496738421</v>
      </c>
      <c r="O52" s="11"/>
      <c r="P52" s="11">
        <f t="shared" ref="P52:Z52" si="66">P51/P53</f>
        <v>0.16058823529411814</v>
      </c>
      <c r="Q52" s="11">
        <f t="shared" si="66"/>
        <v>0.21859099804305279</v>
      </c>
      <c r="R52" s="11">
        <f t="shared" si="66"/>
        <v>0.55252918287937758</v>
      </c>
      <c r="S52" s="11" t="e">
        <f t="shared" si="66"/>
        <v>#DIV/0!</v>
      </c>
      <c r="T52" s="11">
        <f t="shared" si="66"/>
        <v>1.939320719618659</v>
      </c>
      <c r="U52" s="11">
        <f t="shared" si="66"/>
        <v>1.8125077644696761</v>
      </c>
      <c r="V52" s="11">
        <f t="shared" si="66"/>
        <v>3.5798364318125127</v>
      </c>
      <c r="W52" s="11">
        <f t="shared" si="66"/>
        <v>4.2925425391564609</v>
      </c>
      <c r="X52" s="11">
        <f t="shared" si="66"/>
        <v>5.1151118407533529</v>
      </c>
      <c r="Y52" s="11">
        <f t="shared" si="66"/>
        <v>5.8809152874727308</v>
      </c>
      <c r="Z52" s="11">
        <f t="shared" si="66"/>
        <v>6.7419900859602535</v>
      </c>
    </row>
    <row r="53" spans="2:92" x14ac:dyDescent="0.2">
      <c r="B53" s="8" t="s">
        <v>2</v>
      </c>
      <c r="C53" s="8">
        <v>531</v>
      </c>
      <c r="D53" s="8">
        <v>541</v>
      </c>
      <c r="E53" s="8">
        <v>564</v>
      </c>
      <c r="F53" s="8">
        <v>587</v>
      </c>
      <c r="G53" s="8">
        <v>593.48099999999999</v>
      </c>
      <c r="H53" s="8">
        <v>593.48099999999999</v>
      </c>
      <c r="I53" s="8">
        <v>593.48099999999999</v>
      </c>
      <c r="J53" s="8">
        <v>628</v>
      </c>
      <c r="K53" s="8">
        <v>628</v>
      </c>
      <c r="L53" s="8">
        <v>628</v>
      </c>
      <c r="M53" s="8">
        <v>628</v>
      </c>
      <c r="N53" s="8">
        <v>628</v>
      </c>
      <c r="P53" s="8">
        <v>510</v>
      </c>
      <c r="Q53" s="8">
        <v>511</v>
      </c>
      <c r="R53" s="8">
        <v>514</v>
      </c>
      <c r="T53" s="8">
        <v>593.48099999999999</v>
      </c>
      <c r="U53" s="8">
        <f>J53</f>
        <v>628</v>
      </c>
      <c r="V53" s="8">
        <v>628</v>
      </c>
      <c r="W53" s="8">
        <v>628</v>
      </c>
      <c r="X53" s="8">
        <v>628</v>
      </c>
      <c r="Y53" s="8">
        <v>628</v>
      </c>
      <c r="Z53" s="8">
        <v>628</v>
      </c>
      <c r="AA53" s="11"/>
      <c r="AB53" s="11"/>
      <c r="AC53" s="13"/>
      <c r="AD53" s="11"/>
      <c r="AE53" s="11"/>
    </row>
    <row r="55" spans="2:92" ht="15" x14ac:dyDescent="0.25">
      <c r="B55" s="2" t="s">
        <v>23</v>
      </c>
      <c r="G55" s="3">
        <f t="shared" ref="G55:N55" si="67">G39/C39-1</f>
        <v>1.8010001887148519</v>
      </c>
      <c r="H55" s="3">
        <f t="shared" si="67"/>
        <v>0.54929193156702771</v>
      </c>
      <c r="I55" s="3">
        <f t="shared" si="67"/>
        <v>0.19480519480519476</v>
      </c>
      <c r="J55" s="3">
        <f t="shared" si="67"/>
        <v>0.13032666440601348</v>
      </c>
      <c r="K55" s="3">
        <f t="shared" si="67"/>
        <v>0.21273370389085389</v>
      </c>
      <c r="L55" s="3">
        <f t="shared" si="67"/>
        <v>0.30609369496301508</v>
      </c>
      <c r="M55" s="3">
        <f t="shared" si="67"/>
        <v>0.66053913043478274</v>
      </c>
      <c r="N55" s="3">
        <f t="shared" si="67"/>
        <v>0.7823119999999999</v>
      </c>
      <c r="O55" s="13"/>
      <c r="P55" s="13"/>
      <c r="Q55" s="3">
        <f t="shared" ref="Q55:V55" si="68">Q39/P39-1</f>
        <v>6.5313089569670302E-2</v>
      </c>
      <c r="R55" s="3">
        <f t="shared" si="68"/>
        <v>0.46064541519086988</v>
      </c>
      <c r="S55" s="3">
        <f t="shared" si="68"/>
        <v>0.37091279998460358</v>
      </c>
      <c r="T55" s="3">
        <f t="shared" si="68"/>
        <v>1.1042198949939639</v>
      </c>
      <c r="U55" s="3">
        <f t="shared" si="68"/>
        <v>0.48206708830357847</v>
      </c>
      <c r="V55" s="3">
        <f t="shared" si="68"/>
        <v>0.80058519018681062</v>
      </c>
      <c r="W55" s="3">
        <f t="shared" ref="W55:Z55" si="69">W39/V39-1</f>
        <v>0.10000000000000009</v>
      </c>
      <c r="X55" s="3">
        <f t="shared" si="69"/>
        <v>0.10000000000000009</v>
      </c>
      <c r="Y55" s="3">
        <f t="shared" si="69"/>
        <v>0.10000000000000009</v>
      </c>
      <c r="Z55" s="3">
        <f t="shared" si="69"/>
        <v>0.10000000000000009</v>
      </c>
      <c r="AA55" s="3"/>
      <c r="AB55" s="8" t="s">
        <v>40</v>
      </c>
      <c r="AC55" s="13">
        <v>0.06</v>
      </c>
      <c r="AD55" s="3"/>
      <c r="AE55" s="3"/>
    </row>
    <row r="56" spans="2:92" x14ac:dyDescent="0.2">
      <c r="B56" s="8" t="s">
        <v>38</v>
      </c>
      <c r="D56" s="13">
        <f t="shared" ref="D56:N56" si="70">D39/C39-1</f>
        <v>0.72905265144366882</v>
      </c>
      <c r="E56" s="13">
        <f t="shared" si="70"/>
        <v>5.0506152964610251E-2</v>
      </c>
      <c r="F56" s="13">
        <f t="shared" si="70"/>
        <v>0.37875324675324662</v>
      </c>
      <c r="G56" s="13">
        <f t="shared" si="70"/>
        <v>0.11845823442975023</v>
      </c>
      <c r="H56" s="13">
        <f t="shared" si="70"/>
        <v>-4.362472629274039E-2</v>
      </c>
      <c r="I56" s="13">
        <f t="shared" si="70"/>
        <v>-0.18985558295174354</v>
      </c>
      <c r="J56" s="13">
        <f t="shared" si="70"/>
        <v>0.30434782608695654</v>
      </c>
      <c r="K56" s="13">
        <f t="shared" si="70"/>
        <v>0.19999999999999996</v>
      </c>
      <c r="L56" s="13">
        <f t="shared" si="70"/>
        <v>3.0000000000000027E-2</v>
      </c>
      <c r="M56" s="13">
        <f t="shared" si="70"/>
        <v>3.0000000000000027E-2</v>
      </c>
      <c r="N56" s="13">
        <f t="shared" si="70"/>
        <v>0.39999999999999991</v>
      </c>
      <c r="O56" s="13"/>
      <c r="P56" s="13"/>
      <c r="Q56" s="13"/>
      <c r="AB56" s="8" t="s">
        <v>12</v>
      </c>
      <c r="AC56" s="13">
        <v>0.02</v>
      </c>
    </row>
    <row r="57" spans="2:92" x14ac:dyDescent="0.2">
      <c r="B57" s="8" t="s">
        <v>37</v>
      </c>
      <c r="C57" s="13">
        <f t="shared" ref="C57:I57" si="71">C50/C46</f>
        <v>1.2753330387019382E-2</v>
      </c>
      <c r="D57" s="13">
        <f t="shared" si="71"/>
        <v>-0.16554508748317623</v>
      </c>
      <c r="E57" s="13">
        <f t="shared" si="71"/>
        <v>-5.2868094105207479E-2</v>
      </c>
      <c r="F57" s="13">
        <f t="shared" si="71"/>
        <v>2.9129041654529552E-3</v>
      </c>
      <c r="G57" s="13">
        <f t="shared" si="71"/>
        <v>0.14670070699135909</v>
      </c>
      <c r="H57" s="13">
        <f t="shared" si="71"/>
        <v>0.15428416485900201</v>
      </c>
      <c r="I57" s="13">
        <f t="shared" si="71"/>
        <v>3.9322033898305082E-2</v>
      </c>
      <c r="J57" s="13">
        <v>0.15</v>
      </c>
      <c r="K57" s="13">
        <v>0.15</v>
      </c>
      <c r="L57" s="13">
        <v>0.15</v>
      </c>
      <c r="M57" s="13">
        <v>0.15</v>
      </c>
      <c r="N57" s="13">
        <v>0.15</v>
      </c>
      <c r="O57" s="13"/>
      <c r="P57" s="13">
        <f t="shared" ref="P57:U57" si="72">P50/P46</f>
        <v>3.3878504672897096E-2</v>
      </c>
      <c r="Q57" s="13">
        <f t="shared" si="72"/>
        <v>5.5690072639225194E-2</v>
      </c>
      <c r="R57" s="13">
        <f t="shared" si="72"/>
        <v>0.15781622911694509</v>
      </c>
      <c r="S57" s="13">
        <f t="shared" si="72"/>
        <v>0.14528926488361094</v>
      </c>
      <c r="T57" s="13">
        <f t="shared" si="72"/>
        <v>5.2275167230985152E-2</v>
      </c>
      <c r="U57" s="13">
        <f t="shared" si="72"/>
        <v>0.13781142734074631</v>
      </c>
      <c r="V57" s="13">
        <v>0.19</v>
      </c>
      <c r="W57" s="13">
        <v>0.19</v>
      </c>
      <c r="X57" s="13">
        <v>0.19</v>
      </c>
      <c r="Y57" s="13">
        <v>0.19</v>
      </c>
      <c r="Z57" s="13">
        <v>0.19</v>
      </c>
      <c r="AA57" s="13"/>
      <c r="AB57" s="8" t="s">
        <v>10</v>
      </c>
      <c r="AC57" s="14">
        <v>9.5000000000000001E-2</v>
      </c>
      <c r="AD57" s="13"/>
      <c r="AE57" s="13"/>
    </row>
    <row r="58" spans="2:92" ht="15" x14ac:dyDescent="0.25"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2"/>
      <c r="U58" s="13"/>
      <c r="V58" s="13"/>
      <c r="W58" s="13"/>
      <c r="X58" s="13"/>
      <c r="Y58" s="13"/>
      <c r="Z58" s="13"/>
      <c r="AA58" s="13"/>
      <c r="AB58" s="2" t="s">
        <v>13</v>
      </c>
      <c r="AC58" s="2">
        <f>NPV(AC57,V51:CN51)+main!F16-main!F17</f>
        <v>47633.665544611489</v>
      </c>
      <c r="AD58" s="13"/>
      <c r="AE58" s="13"/>
    </row>
    <row r="59" spans="2:92" ht="15" x14ac:dyDescent="0.25">
      <c r="B59" s="2" t="s">
        <v>9</v>
      </c>
      <c r="C59" s="3">
        <f t="shared" ref="C59:I59" si="73">C41/C39</f>
        <v>0.83317607095678436</v>
      </c>
      <c r="D59" s="3">
        <f t="shared" si="73"/>
        <v>0.15397418756309864</v>
      </c>
      <c r="E59" s="3">
        <f t="shared" si="73"/>
        <v>0.15514285714285719</v>
      </c>
      <c r="F59" s="3">
        <f t="shared" si="73"/>
        <v>0.11233563166421766</v>
      </c>
      <c r="G59" s="3">
        <f t="shared" si="73"/>
        <v>0.13060468249957885</v>
      </c>
      <c r="H59" s="3">
        <f t="shared" si="73"/>
        <v>0.11801690736174716</v>
      </c>
      <c r="I59" s="3">
        <f t="shared" si="73"/>
        <v>9.5869565217391303E-2</v>
      </c>
      <c r="J59" s="3">
        <v>0.12</v>
      </c>
      <c r="K59" s="3">
        <v>0.12</v>
      </c>
      <c r="L59" s="3">
        <v>0.12</v>
      </c>
      <c r="M59" s="3">
        <v>0.12</v>
      </c>
      <c r="N59" s="3">
        <v>0.12</v>
      </c>
      <c r="O59" s="3"/>
      <c r="P59" s="17">
        <f t="shared" ref="P59:U59" si="74">P41/P39</f>
        <v>0.1575779354954632</v>
      </c>
      <c r="Q59" s="17">
        <f t="shared" si="74"/>
        <v>0.15025018271771517</v>
      </c>
      <c r="R59" s="17">
        <f t="shared" si="74"/>
        <v>0.15396162506495256</v>
      </c>
      <c r="S59" s="17">
        <f t="shared" si="74"/>
        <v>0.18011062133250977</v>
      </c>
      <c r="T59" s="17">
        <f t="shared" si="74"/>
        <v>0.13752568515998195</v>
      </c>
      <c r="U59" s="17">
        <f t="shared" si="74"/>
        <v>0.11733063245554805</v>
      </c>
      <c r="V59" s="17">
        <v>0.125</v>
      </c>
      <c r="W59" s="17">
        <f>V59*1.02</f>
        <v>0.1275</v>
      </c>
      <c r="X59" s="17">
        <f t="shared" ref="X59" si="75">W59*1.02</f>
        <v>0.13005</v>
      </c>
      <c r="Y59" s="17">
        <v>0.13</v>
      </c>
      <c r="Z59" s="17">
        <v>0.13</v>
      </c>
      <c r="AA59" s="17"/>
      <c r="AB59" s="8" t="s">
        <v>1</v>
      </c>
      <c r="AC59" s="15">
        <f>AC58/main!F14</f>
        <v>79.812448551676354</v>
      </c>
      <c r="AD59" s="17"/>
      <c r="AE59" s="17"/>
    </row>
    <row r="60" spans="2:92" x14ac:dyDescent="0.2">
      <c r="B60" s="8" t="s">
        <v>33</v>
      </c>
      <c r="C60" s="13" t="e">
        <f>#REF!/C39</f>
        <v>#REF!</v>
      </c>
      <c r="D60" s="13" t="e">
        <f>#REF!/D39</f>
        <v>#REF!</v>
      </c>
      <c r="E60" s="13" t="e">
        <f>#REF!/E39</f>
        <v>#REF!</v>
      </c>
      <c r="F60" s="13" t="e">
        <f>#REF!/F39</f>
        <v>#REF!</v>
      </c>
      <c r="G60" s="13" t="e">
        <f>#REF!/G39</f>
        <v>#REF!</v>
      </c>
      <c r="H60" s="13" t="e">
        <f>#REF!/H39</f>
        <v>#REF!</v>
      </c>
      <c r="I60" s="13" t="e">
        <f>#REF!/I39</f>
        <v>#REF!</v>
      </c>
      <c r="J60" s="13">
        <v>6.2E-2</v>
      </c>
      <c r="K60" s="13">
        <v>6.2E-2</v>
      </c>
      <c r="L60" s="13">
        <v>6.5000000000000002E-2</v>
      </c>
      <c r="M60" s="13">
        <v>6.5000000000000002E-2</v>
      </c>
      <c r="N60" s="13">
        <v>6.5000000000000002E-2</v>
      </c>
      <c r="O60" s="13"/>
      <c r="P60" s="13">
        <f>P108/P39</f>
        <v>0</v>
      </c>
      <c r="Q60" s="13">
        <f t="shared" ref="Q60:Z60" si="76">Q108/Q39</f>
        <v>0</v>
      </c>
      <c r="R60" s="13">
        <f t="shared" si="76"/>
        <v>-9.3493196820692417E-2</v>
      </c>
      <c r="S60" s="13">
        <f t="shared" si="76"/>
        <v>8.7977651121655398E-2</v>
      </c>
      <c r="T60" s="13">
        <f t="shared" si="76"/>
        <v>-0.17412937314866705</v>
      </c>
      <c r="U60" s="13">
        <f t="shared" si="76"/>
        <v>5.8183526896241282E-2</v>
      </c>
      <c r="V60" s="13">
        <f t="shared" si="76"/>
        <v>7.37614519228946E-2</v>
      </c>
      <c r="W60" s="13">
        <f t="shared" si="76"/>
        <v>7.8824308911398522E-2</v>
      </c>
      <c r="X60" s="13">
        <f t="shared" si="76"/>
        <v>8.3927652918502307E-2</v>
      </c>
      <c r="Y60" s="13">
        <f t="shared" si="76"/>
        <v>8.6927193507166045E-2</v>
      </c>
      <c r="Z60" s="13">
        <f t="shared" si="76"/>
        <v>8.9854478074423677E-2</v>
      </c>
      <c r="AA60" s="13"/>
      <c r="AB60" s="8" t="s">
        <v>14</v>
      </c>
      <c r="AC60" s="13">
        <f>AC59/main!F13-1</f>
        <v>1.0464730397865734</v>
      </c>
      <c r="AD60" s="13"/>
      <c r="AE60" s="13"/>
    </row>
    <row r="61" spans="2:92" x14ac:dyDescent="0.2">
      <c r="B61" s="8" t="s">
        <v>49</v>
      </c>
      <c r="C61" s="13">
        <f t="shared" ref="C61:N61" si="77">C45/C39</f>
        <v>8.5912436308737503E-2</v>
      </c>
      <c r="D61" s="13">
        <f t="shared" si="77"/>
        <v>5.2607165270539442E-2</v>
      </c>
      <c r="E61" s="13">
        <f t="shared" si="77"/>
        <v>5.6883116883116883E-2</v>
      </c>
      <c r="F61" s="13">
        <f t="shared" si="77"/>
        <v>4.7662107682453568E-2</v>
      </c>
      <c r="G61" s="13">
        <f t="shared" si="77"/>
        <v>4.4837459996631295E-2</v>
      </c>
      <c r="H61" s="13">
        <f t="shared" si="77"/>
        <v>5.3064459316660796E-2</v>
      </c>
      <c r="I61" s="13">
        <f t="shared" si="77"/>
        <v>6.380434782608696E-2</v>
      </c>
      <c r="J61" s="13">
        <f t="shared" si="77"/>
        <v>6.380434782608696E-2</v>
      </c>
      <c r="K61" s="13">
        <f t="shared" si="77"/>
        <v>5.8197282608695652E-2</v>
      </c>
      <c r="L61" s="13">
        <f t="shared" si="77"/>
        <v>5.7618525749261289E-2</v>
      </c>
      <c r="M61" s="13">
        <f t="shared" si="77"/>
        <v>5.7051006887097494E-2</v>
      </c>
      <c r="N61" s="13">
        <f t="shared" si="77"/>
        <v>4.9067232608300461E-2</v>
      </c>
      <c r="O61" s="13"/>
      <c r="P61" s="14">
        <f t="shared" ref="P61:Z61" si="78">P45/P39</f>
        <v>0.13194382056119547</v>
      </c>
      <c r="Q61" s="14">
        <f t="shared" si="78"/>
        <v>0.11542137516163491</v>
      </c>
      <c r="R61" s="14">
        <f t="shared" si="78"/>
        <v>8.9451704162737428E-2</v>
      </c>
      <c r="S61" s="14">
        <f t="shared" si="78"/>
        <v>7.3245921891231719E-2</v>
      </c>
      <c r="T61" s="14">
        <f t="shared" si="78"/>
        <v>5.6740853414458406E-2</v>
      </c>
      <c r="U61" s="14">
        <f t="shared" si="78"/>
        <v>5.5990370783548134E-2</v>
      </c>
      <c r="V61" s="14">
        <f t="shared" si="78"/>
        <v>5.5990370783548134E-2</v>
      </c>
      <c r="W61" s="14">
        <f t="shared" si="78"/>
        <v>5.5990370783548141E-2</v>
      </c>
      <c r="X61" s="14">
        <f t="shared" si="78"/>
        <v>5.5990370783548127E-2</v>
      </c>
      <c r="Y61" s="14">
        <f t="shared" si="78"/>
        <v>5.5990370783548127E-2</v>
      </c>
      <c r="Z61" s="14">
        <f t="shared" si="78"/>
        <v>5.5990370783548127E-2</v>
      </c>
      <c r="AA61" s="14"/>
      <c r="AB61" s="14"/>
      <c r="AC61" s="14"/>
      <c r="AD61" s="14"/>
      <c r="AE61" s="14"/>
    </row>
    <row r="62" spans="2:92" x14ac:dyDescent="0.2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2:92" x14ac:dyDescent="0.2">
      <c r="B63" s="8" t="s">
        <v>41</v>
      </c>
      <c r="G63" s="13"/>
      <c r="I63" s="8">
        <f>I64-(SUM(I78:I80))</f>
        <v>-81.800000000000182</v>
      </c>
      <c r="J63" s="8">
        <f>I63+J51</f>
        <v>203.75487608695636</v>
      </c>
      <c r="K63" s="8">
        <f t="shared" ref="K63:N63" si="79">J63+K51</f>
        <v>584.58538119184777</v>
      </c>
      <c r="L63" s="8">
        <f t="shared" si="79"/>
        <v>985.26670588900038</v>
      </c>
      <c r="M63" s="8">
        <f t="shared" si="79"/>
        <v>1406.5382875651717</v>
      </c>
      <c r="N63" s="8">
        <f t="shared" si="79"/>
        <v>2069.2356955603445</v>
      </c>
      <c r="R63" s="13"/>
      <c r="S63" s="8">
        <f>S64-(SUM(S78:S80))</f>
        <v>282.25900000000001</v>
      </c>
      <c r="T63" s="8">
        <f>T64-(SUM(T78:T80))</f>
        <v>-172.20000000000005</v>
      </c>
      <c r="U63" s="8">
        <f>J63</f>
        <v>203.75487608695636</v>
      </c>
      <c r="V63" s="8">
        <f>U63+V51</f>
        <v>2451.8921552652141</v>
      </c>
      <c r="W63" s="8">
        <f>V63+W51</f>
        <v>5147.6088698554713</v>
      </c>
      <c r="X63" s="8">
        <f>W63+X51</f>
        <v>8359.8991058485772</v>
      </c>
      <c r="Y63" s="8">
        <f>X63+Y51</f>
        <v>12053.113906381452</v>
      </c>
      <c r="Z63" s="8">
        <f>Y63+Z51</f>
        <v>16287.083680364491</v>
      </c>
    </row>
    <row r="64" spans="2:92" x14ac:dyDescent="0.2">
      <c r="B64" s="8" t="s">
        <v>4</v>
      </c>
      <c r="I64" s="8">
        <v>2536.1</v>
      </c>
      <c r="S64" s="8">
        <v>440.459</v>
      </c>
      <c r="T64" s="8">
        <v>1669.8</v>
      </c>
      <c r="U64" s="8">
        <f>J64</f>
        <v>0</v>
      </c>
    </row>
    <row r="65" spans="2:26" x14ac:dyDescent="0.2">
      <c r="B65" s="8" t="s">
        <v>50</v>
      </c>
      <c r="I65" s="8">
        <v>2642.5</v>
      </c>
      <c r="S65" s="8">
        <v>1148.3</v>
      </c>
      <c r="T65" s="8">
        <v>2737.3</v>
      </c>
      <c r="U65" s="8">
        <f t="shared" ref="U65:U70" si="80">J65</f>
        <v>0</v>
      </c>
    </row>
    <row r="66" spans="2:26" x14ac:dyDescent="0.2">
      <c r="B66" s="8" t="s">
        <v>51</v>
      </c>
      <c r="I66" s="8">
        <v>3870.2</v>
      </c>
      <c r="S66" s="8">
        <v>1445.6</v>
      </c>
      <c r="T66" s="8">
        <v>4333</v>
      </c>
      <c r="U66" s="8">
        <f t="shared" si="80"/>
        <v>0</v>
      </c>
    </row>
    <row r="67" spans="2:26" x14ac:dyDescent="0.2">
      <c r="B67" s="27" t="s">
        <v>121</v>
      </c>
      <c r="I67" s="8">
        <v>464.7</v>
      </c>
      <c r="S67" s="8">
        <v>145.1</v>
      </c>
      <c r="T67" s="8">
        <v>191.8</v>
      </c>
      <c r="U67" s="8">
        <f t="shared" si="80"/>
        <v>0</v>
      </c>
    </row>
    <row r="68" spans="2:26" x14ac:dyDescent="0.2">
      <c r="B68" s="8" t="s">
        <v>52</v>
      </c>
      <c r="I68" s="8">
        <v>492.6</v>
      </c>
      <c r="S68" s="8">
        <v>290.2</v>
      </c>
      <c r="T68" s="8">
        <v>414.1</v>
      </c>
      <c r="U68" s="8">
        <f t="shared" si="80"/>
        <v>0</v>
      </c>
    </row>
    <row r="69" spans="2:26" x14ac:dyDescent="0.2">
      <c r="B69" s="27" t="s">
        <v>119</v>
      </c>
      <c r="I69" s="8">
        <v>481.2</v>
      </c>
      <c r="S69" s="8">
        <v>162.6</v>
      </c>
      <c r="T69" s="8">
        <v>365.2</v>
      </c>
      <c r="U69" s="8">
        <f t="shared" si="80"/>
        <v>0</v>
      </c>
    </row>
    <row r="70" spans="2:26" x14ac:dyDescent="0.2">
      <c r="B70" s="8" t="s">
        <v>53</v>
      </c>
      <c r="I70" s="8">
        <v>251.2</v>
      </c>
      <c r="S70" s="8">
        <v>42.4</v>
      </c>
      <c r="T70" s="8">
        <v>114.95</v>
      </c>
      <c r="U70" s="8">
        <f t="shared" si="80"/>
        <v>0</v>
      </c>
    </row>
    <row r="71" spans="2:26" x14ac:dyDescent="0.2">
      <c r="B71" s="8" t="s">
        <v>54</v>
      </c>
      <c r="C71" s="8">
        <f>SUM(C64:C70)</f>
        <v>0</v>
      </c>
      <c r="D71" s="8">
        <f t="shared" ref="D71:P71" si="81">SUM(D64:D70)</f>
        <v>0</v>
      </c>
      <c r="E71" s="8">
        <f t="shared" si="81"/>
        <v>0</v>
      </c>
      <c r="F71" s="8">
        <f t="shared" si="81"/>
        <v>0</v>
      </c>
      <c r="G71" s="8">
        <f t="shared" si="81"/>
        <v>0</v>
      </c>
      <c r="H71" s="8">
        <f t="shared" si="81"/>
        <v>0</v>
      </c>
      <c r="I71" s="8">
        <f t="shared" si="81"/>
        <v>10738.500000000002</v>
      </c>
      <c r="J71" s="8">
        <f t="shared" si="81"/>
        <v>0</v>
      </c>
      <c r="K71" s="8">
        <f t="shared" si="81"/>
        <v>0</v>
      </c>
      <c r="L71" s="8">
        <f t="shared" si="81"/>
        <v>0</v>
      </c>
      <c r="M71" s="8">
        <f t="shared" si="81"/>
        <v>0</v>
      </c>
      <c r="N71" s="8">
        <f t="shared" si="81"/>
        <v>0</v>
      </c>
      <c r="P71" s="8">
        <f t="shared" si="81"/>
        <v>0</v>
      </c>
      <c r="Q71" s="8">
        <f t="shared" ref="Q71" si="82">SUM(Q64:Q70)</f>
        <v>0</v>
      </c>
      <c r="R71" s="8">
        <f t="shared" ref="R71" si="83">SUM(R64:R70)</f>
        <v>0</v>
      </c>
      <c r="S71" s="8">
        <f t="shared" ref="S71" si="84">SUM(S64:S70)</f>
        <v>3674.6589999999997</v>
      </c>
      <c r="T71" s="8">
        <f t="shared" ref="T71" si="85">SUM(T64:T70)</f>
        <v>9826.1500000000015</v>
      </c>
      <c r="U71" s="8">
        <f t="shared" ref="U71" si="86">SUM(U64:U70)</f>
        <v>0</v>
      </c>
      <c r="V71" s="8">
        <f t="shared" ref="V71" si="87">SUM(V64:V70)</f>
        <v>0</v>
      </c>
      <c r="W71" s="8">
        <f t="shared" ref="W71" si="88">SUM(W64:W70)</f>
        <v>0</v>
      </c>
      <c r="X71" s="8">
        <f t="shared" ref="X71" si="89">SUM(X64:X70)</f>
        <v>0</v>
      </c>
      <c r="Y71" s="8">
        <f t="shared" ref="Y71" si="90">SUM(Y64:Y70)</f>
        <v>0</v>
      </c>
      <c r="Z71" s="8">
        <f t="shared" ref="Z71" si="91">SUM(Z64:Z70)</f>
        <v>0</v>
      </c>
    </row>
    <row r="73" spans="2:26" x14ac:dyDescent="0.2">
      <c r="B73" s="8" t="s">
        <v>55</v>
      </c>
      <c r="I73" s="8">
        <v>643.1</v>
      </c>
      <c r="S73" s="8">
        <v>776.9</v>
      </c>
      <c r="T73" s="8">
        <v>1472.4</v>
      </c>
      <c r="U73" s="8">
        <f t="shared" ref="U73:U80" si="92">J73</f>
        <v>0</v>
      </c>
    </row>
    <row r="74" spans="2:26" x14ac:dyDescent="0.2">
      <c r="B74" s="8" t="s">
        <v>56</v>
      </c>
      <c r="I74" s="8">
        <v>344.7</v>
      </c>
      <c r="S74" s="8">
        <v>163.9</v>
      </c>
      <c r="T74" s="8">
        <v>259.7</v>
      </c>
      <c r="U74" s="8">
        <f t="shared" si="92"/>
        <v>0</v>
      </c>
    </row>
    <row r="75" spans="2:26" x14ac:dyDescent="0.2">
      <c r="B75" s="27" t="s">
        <v>117</v>
      </c>
      <c r="I75" s="8">
        <v>23.6</v>
      </c>
      <c r="S75" s="8">
        <v>129.19999999999999</v>
      </c>
      <c r="T75" s="8">
        <v>18.3</v>
      </c>
      <c r="U75" s="8">
        <f t="shared" si="92"/>
        <v>0</v>
      </c>
    </row>
    <row r="76" spans="2:26" x14ac:dyDescent="0.2">
      <c r="B76" s="8" t="s">
        <v>57</v>
      </c>
      <c r="I76" s="8">
        <v>63.97</v>
      </c>
      <c r="S76" s="8">
        <v>170.12</v>
      </c>
      <c r="T76" s="8">
        <v>402.4</v>
      </c>
      <c r="U76" s="8">
        <f t="shared" si="92"/>
        <v>0</v>
      </c>
    </row>
    <row r="77" spans="2:26" x14ac:dyDescent="0.2">
      <c r="B77" s="27" t="s">
        <v>120</v>
      </c>
      <c r="I77" s="8">
        <v>352.8</v>
      </c>
      <c r="S77" s="8">
        <f>135+170</f>
        <v>305</v>
      </c>
      <c r="T77" s="8">
        <f>193+223</f>
        <v>416</v>
      </c>
      <c r="U77" s="8">
        <f t="shared" si="92"/>
        <v>0</v>
      </c>
    </row>
    <row r="78" spans="2:26" x14ac:dyDescent="0.2">
      <c r="B78" s="8" t="s">
        <v>58</v>
      </c>
      <c r="I78" s="8">
        <v>43</v>
      </c>
      <c r="S78" s="8">
        <v>120.2</v>
      </c>
      <c r="T78" s="8">
        <v>74</v>
      </c>
      <c r="U78" s="8">
        <f t="shared" si="92"/>
        <v>0</v>
      </c>
    </row>
    <row r="79" spans="2:26" x14ac:dyDescent="0.2">
      <c r="B79" s="8" t="s">
        <v>59</v>
      </c>
      <c r="I79" s="8">
        <v>2385.3000000000002</v>
      </c>
      <c r="S79" s="8">
        <v>0</v>
      </c>
      <c r="T79" s="8">
        <v>1700</v>
      </c>
      <c r="U79" s="8">
        <f t="shared" si="92"/>
        <v>0</v>
      </c>
    </row>
    <row r="80" spans="2:26" x14ac:dyDescent="0.2">
      <c r="B80" s="27" t="s">
        <v>118</v>
      </c>
      <c r="I80" s="8">
        <v>189.6</v>
      </c>
      <c r="S80" s="8">
        <v>38</v>
      </c>
      <c r="T80" s="8">
        <v>68</v>
      </c>
      <c r="U80" s="8">
        <f t="shared" si="92"/>
        <v>0</v>
      </c>
    </row>
    <row r="81" spans="2:26" x14ac:dyDescent="0.2">
      <c r="B81" s="8" t="s">
        <v>60</v>
      </c>
      <c r="C81" s="8">
        <f t="shared" ref="C81:N81" si="93">SUM(C73:C80)</f>
        <v>0</v>
      </c>
      <c r="D81" s="8">
        <f t="shared" si="93"/>
        <v>0</v>
      </c>
      <c r="E81" s="8">
        <f t="shared" si="93"/>
        <v>0</v>
      </c>
      <c r="F81" s="8">
        <f t="shared" si="93"/>
        <v>0</v>
      </c>
      <c r="G81" s="8">
        <f t="shared" si="93"/>
        <v>0</v>
      </c>
      <c r="H81" s="8">
        <f t="shared" si="93"/>
        <v>0</v>
      </c>
      <c r="I81" s="8">
        <f t="shared" si="93"/>
        <v>4046.07</v>
      </c>
      <c r="J81" s="8">
        <f t="shared" si="93"/>
        <v>0</v>
      </c>
      <c r="K81" s="8">
        <f t="shared" si="93"/>
        <v>0</v>
      </c>
      <c r="L81" s="8">
        <f t="shared" si="93"/>
        <v>0</v>
      </c>
      <c r="M81" s="8">
        <f t="shared" si="93"/>
        <v>0</v>
      </c>
      <c r="N81" s="8">
        <f t="shared" si="93"/>
        <v>0</v>
      </c>
      <c r="P81" s="8">
        <f t="shared" ref="P81:Z81" si="94">SUM(P73:P80)</f>
        <v>0</v>
      </c>
      <c r="Q81" s="8">
        <f t="shared" si="94"/>
        <v>0</v>
      </c>
      <c r="R81" s="8">
        <f t="shared" si="94"/>
        <v>0</v>
      </c>
      <c r="S81" s="8">
        <f t="shared" si="94"/>
        <v>1703.32</v>
      </c>
      <c r="T81" s="8">
        <f t="shared" si="94"/>
        <v>4410.8</v>
      </c>
      <c r="U81" s="8">
        <f t="shared" si="94"/>
        <v>0</v>
      </c>
      <c r="V81" s="8">
        <f t="shared" si="94"/>
        <v>0</v>
      </c>
      <c r="W81" s="8">
        <f t="shared" si="94"/>
        <v>0</v>
      </c>
      <c r="X81" s="8">
        <f t="shared" si="94"/>
        <v>0</v>
      </c>
      <c r="Y81" s="8">
        <f t="shared" si="94"/>
        <v>0</v>
      </c>
      <c r="Z81" s="8">
        <f t="shared" si="94"/>
        <v>0</v>
      </c>
    </row>
    <row r="82" spans="2:26" x14ac:dyDescent="0.2">
      <c r="B82" s="8" t="s">
        <v>61</v>
      </c>
      <c r="C82" s="8">
        <f t="shared" ref="C82:N82" si="95">C71-C81</f>
        <v>0</v>
      </c>
      <c r="D82" s="8">
        <f t="shared" si="95"/>
        <v>0</v>
      </c>
      <c r="E82" s="8">
        <f t="shared" si="95"/>
        <v>0</v>
      </c>
      <c r="F82" s="8">
        <f t="shared" si="95"/>
        <v>0</v>
      </c>
      <c r="G82" s="8">
        <f t="shared" si="95"/>
        <v>0</v>
      </c>
      <c r="H82" s="8">
        <f t="shared" si="95"/>
        <v>0</v>
      </c>
      <c r="I82" s="8">
        <f t="shared" si="95"/>
        <v>6692.4300000000021</v>
      </c>
      <c r="J82" s="8">
        <f t="shared" si="95"/>
        <v>0</v>
      </c>
      <c r="K82" s="8">
        <f t="shared" si="95"/>
        <v>0</v>
      </c>
      <c r="L82" s="8">
        <f t="shared" si="95"/>
        <v>0</v>
      </c>
      <c r="M82" s="8">
        <f t="shared" si="95"/>
        <v>0</v>
      </c>
      <c r="N82" s="8">
        <f t="shared" si="95"/>
        <v>0</v>
      </c>
      <c r="P82" s="8">
        <f t="shared" ref="P82:Z82" si="96">P71-P81</f>
        <v>0</v>
      </c>
      <c r="Q82" s="8">
        <f t="shared" si="96"/>
        <v>0</v>
      </c>
      <c r="R82" s="8">
        <f t="shared" si="96"/>
        <v>0</v>
      </c>
      <c r="S82" s="8">
        <f t="shared" si="96"/>
        <v>1971.3389999999997</v>
      </c>
      <c r="T82" s="8">
        <f t="shared" si="96"/>
        <v>5415.3500000000013</v>
      </c>
      <c r="U82" s="8">
        <f t="shared" si="96"/>
        <v>0</v>
      </c>
      <c r="V82" s="8">
        <f t="shared" si="96"/>
        <v>0</v>
      </c>
      <c r="W82" s="8">
        <f t="shared" si="96"/>
        <v>0</v>
      </c>
      <c r="X82" s="8">
        <f t="shared" si="96"/>
        <v>0</v>
      </c>
      <c r="Y82" s="8">
        <f t="shared" si="96"/>
        <v>0</v>
      </c>
      <c r="Z82" s="8">
        <f t="shared" si="96"/>
        <v>0</v>
      </c>
    </row>
    <row r="83" spans="2:26" x14ac:dyDescent="0.2">
      <c r="B83" s="8" t="s">
        <v>62</v>
      </c>
      <c r="C83" s="8">
        <f>C81+C82</f>
        <v>0</v>
      </c>
      <c r="D83" s="8">
        <f t="shared" ref="D83:P83" si="97">D81+D82</f>
        <v>0</v>
      </c>
      <c r="E83" s="8">
        <f t="shared" si="97"/>
        <v>0</v>
      </c>
      <c r="F83" s="8">
        <f t="shared" si="97"/>
        <v>0</v>
      </c>
      <c r="G83" s="8">
        <f t="shared" si="97"/>
        <v>0</v>
      </c>
      <c r="H83" s="8">
        <f t="shared" si="97"/>
        <v>0</v>
      </c>
      <c r="I83" s="8">
        <f t="shared" si="97"/>
        <v>10738.500000000002</v>
      </c>
      <c r="J83" s="8">
        <f t="shared" si="97"/>
        <v>0</v>
      </c>
      <c r="K83" s="8">
        <f t="shared" si="97"/>
        <v>0</v>
      </c>
      <c r="L83" s="8">
        <f t="shared" si="97"/>
        <v>0</v>
      </c>
      <c r="M83" s="8">
        <f t="shared" si="97"/>
        <v>0</v>
      </c>
      <c r="N83" s="8">
        <f t="shared" si="97"/>
        <v>0</v>
      </c>
      <c r="P83" s="8">
        <f t="shared" si="97"/>
        <v>0</v>
      </c>
      <c r="Q83" s="8">
        <f t="shared" ref="Q83" si="98">Q81+Q82</f>
        <v>0</v>
      </c>
      <c r="R83" s="8">
        <f t="shared" ref="R83" si="99">R81+R82</f>
        <v>0</v>
      </c>
      <c r="S83" s="8">
        <f t="shared" ref="S83" si="100">S81+S82</f>
        <v>3674.6589999999997</v>
      </c>
      <c r="T83" s="8">
        <f t="shared" ref="T83" si="101">T81+T82</f>
        <v>9826.1500000000015</v>
      </c>
      <c r="U83" s="8">
        <f t="shared" ref="U83" si="102">U81+U82</f>
        <v>0</v>
      </c>
      <c r="V83" s="8">
        <f t="shared" ref="V83" si="103">V81+V82</f>
        <v>0</v>
      </c>
      <c r="W83" s="8">
        <f t="shared" ref="W83" si="104">W81+W82</f>
        <v>0</v>
      </c>
      <c r="X83" s="8">
        <f t="shared" ref="X83" si="105">X81+X82</f>
        <v>0</v>
      </c>
      <c r="Y83" s="8">
        <f t="shared" ref="Y83" si="106">Y81+Y82</f>
        <v>0</v>
      </c>
      <c r="Z83" s="8">
        <f t="shared" ref="Z83" si="107">Z81+Z82</f>
        <v>0</v>
      </c>
    </row>
    <row r="85" spans="2:26" x14ac:dyDescent="0.2">
      <c r="B85" s="8" t="s">
        <v>63</v>
      </c>
      <c r="C85" s="8">
        <f t="shared" ref="C85:N85" si="108">C65/C39*90</f>
        <v>0</v>
      </c>
      <c r="D85" s="8">
        <f t="shared" si="108"/>
        <v>0</v>
      </c>
      <c r="E85" s="8">
        <f t="shared" si="108"/>
        <v>0</v>
      </c>
      <c r="F85" s="8">
        <f t="shared" si="108"/>
        <v>0</v>
      </c>
      <c r="G85" s="8">
        <f t="shared" si="108"/>
        <v>0</v>
      </c>
      <c r="H85" s="8">
        <f t="shared" si="108"/>
        <v>0</v>
      </c>
      <c r="I85" s="8">
        <f t="shared" si="108"/>
        <v>51.701086956521735</v>
      </c>
      <c r="J85" s="8">
        <f t="shared" si="108"/>
        <v>0</v>
      </c>
      <c r="K85" s="8">
        <f t="shared" si="108"/>
        <v>0</v>
      </c>
      <c r="L85" s="8">
        <f t="shared" si="108"/>
        <v>0</v>
      </c>
      <c r="M85" s="8">
        <f t="shared" si="108"/>
        <v>0</v>
      </c>
      <c r="N85" s="8">
        <f t="shared" si="108"/>
        <v>0</v>
      </c>
      <c r="P85" s="8">
        <f t="shared" ref="P85:Z85" si="109">P65/P39*360</f>
        <v>0</v>
      </c>
      <c r="Q85" s="8">
        <f t="shared" si="109"/>
        <v>0</v>
      </c>
      <c r="R85" s="8">
        <f t="shared" si="109"/>
        <v>0</v>
      </c>
      <c r="S85" s="8">
        <f t="shared" si="109"/>
        <v>58.032400258303625</v>
      </c>
      <c r="T85" s="8">
        <f t="shared" si="109"/>
        <v>65.742534624929945</v>
      </c>
      <c r="U85" s="8">
        <f t="shared" si="109"/>
        <v>0</v>
      </c>
      <c r="V85" s="8">
        <f t="shared" si="109"/>
        <v>0</v>
      </c>
      <c r="W85" s="8">
        <f t="shared" si="109"/>
        <v>0</v>
      </c>
      <c r="X85" s="8">
        <f t="shared" si="109"/>
        <v>0</v>
      </c>
      <c r="Y85" s="8">
        <f t="shared" si="109"/>
        <v>0</v>
      </c>
      <c r="Z85" s="8">
        <f t="shared" si="109"/>
        <v>0</v>
      </c>
    </row>
    <row r="87" spans="2:26" x14ac:dyDescent="0.2">
      <c r="B87" s="8" t="s">
        <v>64</v>
      </c>
      <c r="C87" s="8">
        <f t="shared" ref="C87:N87" si="110">C51</f>
        <v>1568.5</v>
      </c>
      <c r="D87" s="8">
        <f t="shared" si="110"/>
        <v>417.00000000000017</v>
      </c>
      <c r="E87" s="8">
        <f t="shared" si="110"/>
        <v>402.00000000000017</v>
      </c>
      <c r="F87" s="8">
        <f t="shared" si="110"/>
        <v>353.20000000000016</v>
      </c>
      <c r="G87" s="8">
        <f t="shared" si="110"/>
        <v>424.39999999999964</v>
      </c>
      <c r="H87" s="8">
        <f t="shared" si="110"/>
        <v>318.30000000000035</v>
      </c>
      <c r="I87" s="8">
        <f t="shared" si="110"/>
        <v>110</v>
      </c>
      <c r="J87" s="8">
        <f t="shared" si="110"/>
        <v>285.55487608695654</v>
      </c>
      <c r="K87" s="8">
        <f t="shared" si="110"/>
        <v>380.83050510489136</v>
      </c>
      <c r="L87" s="8">
        <f t="shared" si="110"/>
        <v>400.6813246971526</v>
      </c>
      <c r="M87" s="8">
        <f t="shared" si="110"/>
        <v>421.27158167617142</v>
      </c>
      <c r="N87" s="8">
        <f t="shared" si="110"/>
        <v>662.69740799517285</v>
      </c>
      <c r="R87" s="8">
        <f t="shared" ref="R87:Z87" si="111">R51</f>
        <v>284.00000000000006</v>
      </c>
      <c r="S87" s="8">
        <f t="shared" si="111"/>
        <v>650.64</v>
      </c>
      <c r="T87" s="8">
        <f t="shared" si="111"/>
        <v>1150.9500000000014</v>
      </c>
      <c r="U87" s="8">
        <f t="shared" si="111"/>
        <v>1138.2548760869565</v>
      </c>
      <c r="V87" s="8">
        <f t="shared" si="111"/>
        <v>2248.1372791782578</v>
      </c>
      <c r="W87" s="8">
        <f t="shared" si="111"/>
        <v>2695.7167145902572</v>
      </c>
      <c r="X87" s="8">
        <f t="shared" si="111"/>
        <v>3212.2902359931059</v>
      </c>
      <c r="Y87" s="8">
        <f t="shared" si="111"/>
        <v>3693.214800532875</v>
      </c>
      <c r="Z87" s="8">
        <f t="shared" si="111"/>
        <v>4233.969773983039</v>
      </c>
    </row>
    <row r="88" spans="2:26" x14ac:dyDescent="0.2">
      <c r="B88" s="8" t="s">
        <v>65</v>
      </c>
      <c r="G88" s="8">
        <v>424.3</v>
      </c>
      <c r="H88" s="8">
        <v>745</v>
      </c>
      <c r="I88" s="8">
        <v>853.7</v>
      </c>
      <c r="R88" s="8">
        <v>285.2</v>
      </c>
      <c r="S88" s="8">
        <v>640</v>
      </c>
      <c r="T88" s="8">
        <v>1152.7</v>
      </c>
      <c r="U88" s="8">
        <f>SUM(G88:I88,J87)</f>
        <v>2308.5548760869565</v>
      </c>
    </row>
    <row r="89" spans="2:26" x14ac:dyDescent="0.2">
      <c r="B89" s="8" t="s">
        <v>66</v>
      </c>
      <c r="G89" s="8">
        <v>14.1</v>
      </c>
      <c r="H89" s="8">
        <v>29</v>
      </c>
      <c r="I89" s="8">
        <v>39.700000000000003</v>
      </c>
      <c r="J89" s="8">
        <f>I89*(1+J56)</f>
        <v>51.782608695652179</v>
      </c>
      <c r="R89" s="8">
        <v>32.5</v>
      </c>
      <c r="S89" s="8">
        <v>35</v>
      </c>
      <c r="T89" s="8">
        <v>41</v>
      </c>
      <c r="U89" s="8">
        <f>SUM(G89:J89)</f>
        <v>134.5826086956522</v>
      </c>
      <c r="V89" s="8">
        <f>U89*(1+V55)</f>
        <v>242.32745207409803</v>
      </c>
      <c r="W89" s="8">
        <f t="shared" ref="W89:W95" si="112">V89*1.1</f>
        <v>266.56019728150784</v>
      </c>
      <c r="X89" s="8">
        <f t="shared" ref="X89:Z89" si="113">W89*1.1</f>
        <v>293.21621700965864</v>
      </c>
      <c r="Y89" s="8">
        <f t="shared" si="113"/>
        <v>322.5378387106245</v>
      </c>
      <c r="Z89" s="8">
        <f t="shared" si="113"/>
        <v>354.79162258168697</v>
      </c>
    </row>
    <row r="90" spans="2:26" x14ac:dyDescent="0.2">
      <c r="B90" s="27" t="s">
        <v>124</v>
      </c>
      <c r="G90" s="8">
        <v>64</v>
      </c>
      <c r="H90" s="8">
        <v>146</v>
      </c>
      <c r="I90" s="8">
        <v>230.84</v>
      </c>
      <c r="J90" s="8">
        <f>I90*(1+J56)</f>
        <v>301.09565217391304</v>
      </c>
      <c r="R90" s="8">
        <v>32.799999999999997</v>
      </c>
      <c r="S90" s="8">
        <v>54.4</v>
      </c>
      <c r="T90" s="8">
        <v>231.5</v>
      </c>
      <c r="U90" s="8">
        <f t="shared" ref="U90:U106" si="114">SUM(G90:J90)</f>
        <v>741.93565217391301</v>
      </c>
      <c r="V90" s="8">
        <f>U90*(1+V55)</f>
        <v>1335.9183473759406</v>
      </c>
      <c r="W90" s="8">
        <f t="shared" si="112"/>
        <v>1469.5101821135347</v>
      </c>
      <c r="X90" s="8">
        <f t="shared" ref="X90:Z90" si="115">W90*1.1</f>
        <v>1616.4612003248883</v>
      </c>
      <c r="Y90" s="8">
        <f t="shared" si="115"/>
        <v>1778.1073203573774</v>
      </c>
      <c r="Z90" s="8">
        <f t="shared" si="115"/>
        <v>1955.9180523931152</v>
      </c>
    </row>
    <row r="91" spans="2:26" x14ac:dyDescent="0.2">
      <c r="B91" s="8" t="s">
        <v>67</v>
      </c>
      <c r="G91" s="8">
        <v>0</v>
      </c>
      <c r="H91" s="8">
        <v>-2.5</v>
      </c>
      <c r="I91" s="8">
        <v>-2</v>
      </c>
      <c r="J91" s="8">
        <f>I91*(1+J56)</f>
        <v>-2.6086956521739131</v>
      </c>
      <c r="R91" s="8">
        <v>-1.2</v>
      </c>
      <c r="S91" s="8">
        <v>3.6</v>
      </c>
      <c r="T91" s="8">
        <v>-1.8</v>
      </c>
      <c r="U91" s="8">
        <f t="shared" si="114"/>
        <v>-7.1086956521739131</v>
      </c>
      <c r="V91" s="8">
        <f>U91*(1+V55)</f>
        <v>-12.799812112849718</v>
      </c>
      <c r="W91" s="8">
        <f t="shared" si="112"/>
        <v>-14.079793324134691</v>
      </c>
      <c r="X91" s="8">
        <f t="shared" ref="X91:Z91" si="116">W91*1.1</f>
        <v>-15.487772656548161</v>
      </c>
      <c r="Y91" s="8">
        <f t="shared" si="116"/>
        <v>-17.03654992220298</v>
      </c>
      <c r="Z91" s="8">
        <f t="shared" si="116"/>
        <v>-18.740204914423281</v>
      </c>
    </row>
    <row r="92" spans="2:26" x14ac:dyDescent="0.2">
      <c r="B92" s="27" t="s">
        <v>123</v>
      </c>
      <c r="G92" s="8">
        <v>1</v>
      </c>
      <c r="H92" s="8">
        <v>-0.3</v>
      </c>
      <c r="I92" s="8">
        <v>2.7</v>
      </c>
      <c r="J92" s="8">
        <f>I92*(1+J56)</f>
        <v>3.5217391304347827</v>
      </c>
      <c r="R92" s="8">
        <v>-13.7</v>
      </c>
      <c r="S92" s="8">
        <v>-2.6</v>
      </c>
      <c r="T92" s="8">
        <v>-0.5</v>
      </c>
      <c r="U92" s="8">
        <f t="shared" si="114"/>
        <v>6.9217391304347835</v>
      </c>
      <c r="V92" s="8">
        <f>U92*(1+V55)</f>
        <v>12.463180968597404</v>
      </c>
      <c r="W92" s="8">
        <f t="shared" si="112"/>
        <v>13.709499065457146</v>
      </c>
      <c r="X92" s="8">
        <f t="shared" ref="X92:Z92" si="117">W92*1.1</f>
        <v>15.080448972002863</v>
      </c>
      <c r="Y92" s="8">
        <f t="shared" si="117"/>
        <v>16.588493869203152</v>
      </c>
      <c r="Z92" s="8">
        <f t="shared" si="117"/>
        <v>18.247343256123468</v>
      </c>
    </row>
    <row r="93" spans="2:26" x14ac:dyDescent="0.2">
      <c r="B93" s="27" t="s">
        <v>119</v>
      </c>
      <c r="G93" s="8">
        <v>-46.5</v>
      </c>
      <c r="H93" s="8">
        <v>-76</v>
      </c>
      <c r="I93" s="8">
        <v>-134.4</v>
      </c>
      <c r="J93" s="8">
        <f>I93*(1+J56)</f>
        <v>-175.30434782608697</v>
      </c>
      <c r="R93" s="8">
        <v>-6.8</v>
      </c>
      <c r="S93" s="8">
        <v>-93</v>
      </c>
      <c r="T93" s="8">
        <v>-168.5</v>
      </c>
      <c r="U93" s="8">
        <f t="shared" si="114"/>
        <v>-432.20434782608697</v>
      </c>
      <c r="V93" s="8">
        <f>U93*(1+V55)</f>
        <v>-778.2207478300013</v>
      </c>
      <c r="W93" s="8">
        <f t="shared" si="112"/>
        <v>-856.04282261300148</v>
      </c>
      <c r="X93" s="8">
        <f t="shared" ref="X93:Z93" si="118">W93*1.1</f>
        <v>-941.6471048743017</v>
      </c>
      <c r="Y93" s="8">
        <f t="shared" si="118"/>
        <v>-1035.811815361732</v>
      </c>
      <c r="Z93" s="8">
        <f t="shared" si="118"/>
        <v>-1139.3929968979053</v>
      </c>
    </row>
    <row r="94" spans="2:26" x14ac:dyDescent="0.2">
      <c r="B94" s="8" t="s">
        <v>68</v>
      </c>
      <c r="G94" s="8">
        <v>-3.3</v>
      </c>
      <c r="H94" s="8">
        <v>-4</v>
      </c>
      <c r="I94" s="8">
        <v>5.6</v>
      </c>
      <c r="J94" s="8">
        <f>I94*(1+J56)</f>
        <v>7.3043478260869561</v>
      </c>
      <c r="R94" s="8">
        <v>0.4</v>
      </c>
      <c r="S94" s="8">
        <v>-0.7</v>
      </c>
      <c r="T94" s="8">
        <v>12.3</v>
      </c>
      <c r="U94" s="8">
        <f t="shared" si="114"/>
        <v>5.6043478260869559</v>
      </c>
      <c r="V94" s="8">
        <f>U94*(1+V55)</f>
        <v>10.091105696307821</v>
      </c>
      <c r="W94" s="8">
        <f t="shared" si="112"/>
        <v>11.100216265938604</v>
      </c>
      <c r="X94" s="8">
        <f t="shared" ref="X94:Z94" si="119">W94*1.1</f>
        <v>12.210237892532465</v>
      </c>
      <c r="Y94" s="8">
        <f t="shared" si="119"/>
        <v>13.431261681785713</v>
      </c>
      <c r="Z94" s="8">
        <f t="shared" si="119"/>
        <v>14.774387849964286</v>
      </c>
    </row>
    <row r="95" spans="2:26" x14ac:dyDescent="0.2">
      <c r="B95" s="8" t="s">
        <v>50</v>
      </c>
      <c r="G95" s="8">
        <v>15.3</v>
      </c>
      <c r="H95" s="8">
        <v>-320</v>
      </c>
      <c r="I95" s="8">
        <v>94.8</v>
      </c>
      <c r="J95" s="8">
        <f>I95*(1+J56)</f>
        <v>123.65217391304347</v>
      </c>
      <c r="R95" s="8">
        <v>-372.4</v>
      </c>
      <c r="S95" s="8">
        <v>-311.89999999999998</v>
      </c>
      <c r="T95" s="8">
        <v>-1589</v>
      </c>
      <c r="U95" s="8">
        <f t="shared" si="114"/>
        <v>-86.247826086956508</v>
      </c>
      <c r="V95" s="8">
        <v>0</v>
      </c>
      <c r="W95" s="8">
        <f t="shared" si="112"/>
        <v>0</v>
      </c>
      <c r="X95" s="8">
        <f t="shared" ref="X95:Z95" si="120">W95*1.1</f>
        <v>0</v>
      </c>
      <c r="Y95" s="8">
        <f t="shared" si="120"/>
        <v>0</v>
      </c>
      <c r="Z95" s="8">
        <f t="shared" si="120"/>
        <v>0</v>
      </c>
    </row>
    <row r="96" spans="2:26" x14ac:dyDescent="0.2">
      <c r="B96" s="8" t="s">
        <v>51</v>
      </c>
      <c r="G96" s="8">
        <v>-600</v>
      </c>
      <c r="H96" s="8">
        <v>733.6</v>
      </c>
      <c r="I96" s="8">
        <v>457.9</v>
      </c>
      <c r="J96" s="8">
        <f>I96*(1+J56)</f>
        <v>597.26086956521738</v>
      </c>
      <c r="R96" s="8">
        <v>-504.6</v>
      </c>
      <c r="S96" s="8">
        <v>100</v>
      </c>
      <c r="T96" s="8">
        <v>-2900</v>
      </c>
      <c r="U96" s="8">
        <f t="shared" si="114"/>
        <v>1188.7608695652175</v>
      </c>
      <c r="V96" s="8">
        <v>-500</v>
      </c>
      <c r="W96" s="8">
        <f t="shared" ref="W96:Z102" si="121">V96*1.1</f>
        <v>-550</v>
      </c>
      <c r="X96" s="8">
        <f t="shared" si="121"/>
        <v>-605</v>
      </c>
      <c r="Y96" s="8">
        <f t="shared" si="121"/>
        <v>-665.5</v>
      </c>
      <c r="Z96" s="8">
        <f t="shared" si="121"/>
        <v>-732.05000000000007</v>
      </c>
    </row>
    <row r="97" spans="1:122" x14ac:dyDescent="0.2">
      <c r="B97" s="27" t="s">
        <v>121</v>
      </c>
      <c r="G97" s="8">
        <v>87</v>
      </c>
      <c r="H97" s="8">
        <v>-400</v>
      </c>
      <c r="I97" s="8">
        <v>-284.3</v>
      </c>
      <c r="J97" s="8">
        <f>I97*(1+J56)</f>
        <v>-370.82608695652175</v>
      </c>
      <c r="R97" s="8">
        <v>-29</v>
      </c>
      <c r="S97" s="8">
        <v>8.3000000000000007</v>
      </c>
      <c r="T97" s="8">
        <v>-44.7</v>
      </c>
      <c r="U97" s="8">
        <f t="shared" si="114"/>
        <v>-968.1260869565217</v>
      </c>
      <c r="V97" s="8">
        <v>100</v>
      </c>
      <c r="W97" s="8">
        <f t="shared" si="121"/>
        <v>110.00000000000001</v>
      </c>
      <c r="X97" s="8">
        <f t="shared" si="121"/>
        <v>121.00000000000003</v>
      </c>
      <c r="Y97" s="8">
        <f t="shared" si="121"/>
        <v>133.10000000000005</v>
      </c>
      <c r="Z97" s="8">
        <f t="shared" si="121"/>
        <v>146.41000000000008</v>
      </c>
    </row>
    <row r="98" spans="1:122" x14ac:dyDescent="0.2">
      <c r="B98" s="8" t="s">
        <v>55</v>
      </c>
      <c r="G98" s="8">
        <v>220</v>
      </c>
      <c r="H98" s="8">
        <v>-907</v>
      </c>
      <c r="I98" s="8">
        <v>-811.7</v>
      </c>
      <c r="J98" s="8">
        <f>I98*(1+J56)</f>
        <v>-1058.7391304347827</v>
      </c>
      <c r="R98" s="8">
        <v>50.1</v>
      </c>
      <c r="S98" s="8">
        <v>127.1</v>
      </c>
      <c r="T98" s="8">
        <v>679.2</v>
      </c>
      <c r="U98" s="8">
        <f t="shared" si="114"/>
        <v>-2557.4391304347828</v>
      </c>
      <c r="V98" s="8">
        <v>0</v>
      </c>
      <c r="W98" s="8">
        <f t="shared" si="121"/>
        <v>0</v>
      </c>
      <c r="X98" s="8">
        <f t="shared" si="121"/>
        <v>0</v>
      </c>
      <c r="Y98" s="8">
        <f t="shared" si="121"/>
        <v>0</v>
      </c>
      <c r="Z98" s="8">
        <f t="shared" si="121"/>
        <v>0</v>
      </c>
    </row>
    <row r="99" spans="1:122" x14ac:dyDescent="0.2">
      <c r="B99" s="27" t="s">
        <v>122</v>
      </c>
      <c r="G99" s="8">
        <v>26</v>
      </c>
      <c r="H99" s="8">
        <v>-60</v>
      </c>
      <c r="I99" s="8">
        <v>52.7</v>
      </c>
      <c r="J99" s="8">
        <f>I99*(1+J56)</f>
        <v>68.739130434782609</v>
      </c>
      <c r="R99" s="8">
        <v>36</v>
      </c>
      <c r="S99" s="8">
        <v>-50.3</v>
      </c>
      <c r="T99" s="8">
        <v>93</v>
      </c>
      <c r="U99" s="8">
        <f t="shared" si="114"/>
        <v>87.439130434782612</v>
      </c>
      <c r="V99" s="8">
        <f>U99*(1+V55)</f>
        <v>157.4416033036824</v>
      </c>
      <c r="W99" s="8">
        <f t="shared" si="121"/>
        <v>173.18576363405066</v>
      </c>
      <c r="X99" s="8">
        <f t="shared" si="121"/>
        <v>190.50433999745573</v>
      </c>
      <c r="Y99" s="8">
        <f t="shared" si="121"/>
        <v>209.55477399720132</v>
      </c>
      <c r="Z99" s="8">
        <f t="shared" si="121"/>
        <v>230.51025139692146</v>
      </c>
    </row>
    <row r="100" spans="1:122" x14ac:dyDescent="0.2">
      <c r="B100" s="27" t="s">
        <v>117</v>
      </c>
      <c r="G100" s="8">
        <v>62</v>
      </c>
      <c r="H100" s="8">
        <v>97</v>
      </c>
      <c r="I100" s="8">
        <v>5.4</v>
      </c>
      <c r="J100" s="8">
        <f>I100*(1+J56)</f>
        <v>7.0434782608695654</v>
      </c>
      <c r="R100" s="8">
        <v>29</v>
      </c>
      <c r="S100" s="8">
        <v>87.4</v>
      </c>
      <c r="T100" s="8">
        <v>-111</v>
      </c>
      <c r="U100" s="8">
        <f t="shared" si="114"/>
        <v>171.44347826086957</v>
      </c>
      <c r="V100" s="8">
        <v>100</v>
      </c>
      <c r="W100" s="8">
        <f t="shared" si="121"/>
        <v>110.00000000000001</v>
      </c>
      <c r="X100" s="8">
        <f t="shared" si="121"/>
        <v>121.00000000000003</v>
      </c>
      <c r="Y100" s="8">
        <f t="shared" si="121"/>
        <v>133.10000000000005</v>
      </c>
      <c r="Z100" s="8">
        <f t="shared" si="121"/>
        <v>146.41000000000008</v>
      </c>
    </row>
    <row r="101" spans="1:122" x14ac:dyDescent="0.2">
      <c r="B101" s="27" t="s">
        <v>120</v>
      </c>
      <c r="G101" s="8">
        <v>142</v>
      </c>
      <c r="H101" s="8">
        <v>183</v>
      </c>
      <c r="I101" s="8">
        <v>250</v>
      </c>
      <c r="J101" s="8">
        <f>I101*(1+J56)</f>
        <v>326.08695652173913</v>
      </c>
      <c r="R101" s="8">
        <v>31.6</v>
      </c>
      <c r="S101" s="8">
        <v>70.599999999999994</v>
      </c>
      <c r="T101" s="8">
        <v>112</v>
      </c>
      <c r="U101" s="8">
        <f t="shared" si="114"/>
        <v>901.08695652173913</v>
      </c>
      <c r="V101" s="8">
        <v>400</v>
      </c>
      <c r="W101" s="8">
        <f t="shared" si="121"/>
        <v>440.00000000000006</v>
      </c>
      <c r="X101" s="8">
        <f t="shared" si="121"/>
        <v>484.00000000000011</v>
      </c>
      <c r="Y101" s="8">
        <f t="shared" si="121"/>
        <v>532.4000000000002</v>
      </c>
      <c r="Z101" s="8">
        <f t="shared" si="121"/>
        <v>585.64000000000033</v>
      </c>
    </row>
    <row r="102" spans="1:122" x14ac:dyDescent="0.2">
      <c r="B102" s="27" t="s">
        <v>118</v>
      </c>
      <c r="G102" s="8">
        <v>1.5</v>
      </c>
      <c r="H102" s="8">
        <v>4</v>
      </c>
      <c r="I102" s="8">
        <v>5.4</v>
      </c>
      <c r="J102" s="8">
        <f>I102*(1+J56)</f>
        <v>7.0434782608695654</v>
      </c>
      <c r="R102" s="8">
        <v>-10.5</v>
      </c>
      <c r="S102" s="8">
        <v>-4.4000000000000004</v>
      </c>
      <c r="T102" s="8">
        <v>8.0399999999999991</v>
      </c>
      <c r="U102" s="8">
        <f t="shared" si="114"/>
        <v>17.943478260869565</v>
      </c>
      <c r="V102" s="8">
        <f>U102*(1+V55)</f>
        <v>32.308761216960725</v>
      </c>
      <c r="W102" s="8">
        <f t="shared" si="121"/>
        <v>35.539637338656803</v>
      </c>
      <c r="X102" s="8">
        <f t="shared" si="121"/>
        <v>39.093601072522489</v>
      </c>
      <c r="Y102" s="8">
        <f t="shared" si="121"/>
        <v>43.002961179774744</v>
      </c>
      <c r="Z102" s="8">
        <f t="shared" si="121"/>
        <v>47.303257297752225</v>
      </c>
    </row>
    <row r="103" spans="1:122" s="2" customFormat="1" ht="15" x14ac:dyDescent="0.25">
      <c r="A103" s="8"/>
      <c r="B103" s="2" t="s">
        <v>16</v>
      </c>
      <c r="C103" s="2">
        <f>SUM(C88:C102)</f>
        <v>0</v>
      </c>
      <c r="D103" s="2">
        <f t="shared" ref="D103:H103" si="122">SUM(D88:D102)</f>
        <v>0</v>
      </c>
      <c r="E103" s="2">
        <f t="shared" si="122"/>
        <v>0</v>
      </c>
      <c r="F103" s="2">
        <f t="shared" si="122"/>
        <v>0</v>
      </c>
      <c r="G103" s="2">
        <f>SUM(G88:G102)</f>
        <v>407.40000000000003</v>
      </c>
      <c r="H103" s="2">
        <f t="shared" si="122"/>
        <v>167.80000000000018</v>
      </c>
      <c r="I103" s="2">
        <f>SUM(I88:I102)</f>
        <v>766.34</v>
      </c>
      <c r="J103" s="2">
        <f>SUM(J89:J102,J87)</f>
        <v>171.6070499999999</v>
      </c>
      <c r="K103" s="2">
        <f t="shared" ref="K103:N103" si="123">SUM(K89:K102,K87)</f>
        <v>380.83050510489136</v>
      </c>
      <c r="L103" s="2">
        <f t="shared" si="123"/>
        <v>400.6813246971526</v>
      </c>
      <c r="M103" s="2">
        <f t="shared" si="123"/>
        <v>421.27158167617142</v>
      </c>
      <c r="N103" s="2">
        <f t="shared" si="123"/>
        <v>662.69740799517285</v>
      </c>
      <c r="R103" s="2">
        <f>SUM(R88:R102)</f>
        <v>-440.59999999999991</v>
      </c>
      <c r="S103" s="2">
        <f>SUM(S88:S102)</f>
        <v>663.5</v>
      </c>
      <c r="T103" s="2">
        <f>SUM(T88:T102)</f>
        <v>-2485.7600000000002</v>
      </c>
      <c r="U103" s="2">
        <f>SUM(U88:U102)</f>
        <v>1513.14705</v>
      </c>
      <c r="V103" s="2">
        <f t="shared" ref="V103:Z103" si="124">SUM(V89:V102,V87)</f>
        <v>3347.6671698709943</v>
      </c>
      <c r="W103" s="2">
        <f t="shared" si="124"/>
        <v>3905.1995943522666</v>
      </c>
      <c r="X103" s="2">
        <f t="shared" si="124"/>
        <v>4542.721403731317</v>
      </c>
      <c r="Y103" s="2">
        <f t="shared" si="124"/>
        <v>5156.6890850449072</v>
      </c>
      <c r="Z103" s="2">
        <f t="shared" si="124"/>
        <v>5843.7914869462738</v>
      </c>
    </row>
    <row r="104" spans="1:122" x14ac:dyDescent="0.2">
      <c r="B104" s="8" t="s">
        <v>69</v>
      </c>
      <c r="G104" s="23">
        <v>-44.3</v>
      </c>
      <c r="H104" s="23">
        <v>-71.8</v>
      </c>
      <c r="I104" s="8">
        <v>-104.5</v>
      </c>
      <c r="R104" s="8">
        <v>-45.2</v>
      </c>
      <c r="S104" s="8">
        <v>-36.799999999999997</v>
      </c>
      <c r="T104" s="8">
        <v>-124.3</v>
      </c>
      <c r="U104" s="8">
        <f t="shared" si="114"/>
        <v>-220.6</v>
      </c>
      <c r="V104" s="8">
        <f>U104*(1+V55)</f>
        <v>-397.20909295521039</v>
      </c>
      <c r="W104" s="8">
        <f>V104*(1+W55)</f>
        <v>-436.93000225073149</v>
      </c>
      <c r="X104" s="8">
        <f>W104*(1+X55)</f>
        <v>-480.6230024758047</v>
      </c>
      <c r="Y104" s="8">
        <f>X104*(1+Y55)</f>
        <v>-528.68530272338523</v>
      </c>
      <c r="Z104" s="8">
        <f>Y104*(1+Z55)</f>
        <v>-581.55383299572384</v>
      </c>
    </row>
    <row r="105" spans="1:122" x14ac:dyDescent="0.2">
      <c r="B105" s="8" t="s">
        <v>70</v>
      </c>
      <c r="I105" s="8">
        <v>0</v>
      </c>
      <c r="R105" s="8">
        <v>-1.1000000000000001</v>
      </c>
      <c r="S105" s="8">
        <v>-0.5</v>
      </c>
      <c r="T105" s="8">
        <v>-69.7</v>
      </c>
      <c r="U105" s="8">
        <f t="shared" si="114"/>
        <v>0</v>
      </c>
    </row>
    <row r="106" spans="1:122" x14ac:dyDescent="0.2">
      <c r="B106" s="8" t="s">
        <v>71</v>
      </c>
      <c r="I106" s="8">
        <v>0</v>
      </c>
      <c r="R106" s="8">
        <v>0</v>
      </c>
      <c r="S106" s="8">
        <v>-2.2000000000000002</v>
      </c>
      <c r="T106" s="8">
        <v>-0.3</v>
      </c>
      <c r="U106" s="8">
        <f t="shared" si="114"/>
        <v>0</v>
      </c>
    </row>
    <row r="107" spans="1:122" s="2" customFormat="1" ht="15" x14ac:dyDescent="0.25">
      <c r="A107" s="8"/>
      <c r="B107" s="2" t="s">
        <v>72</v>
      </c>
      <c r="C107" s="2">
        <v>-2.63</v>
      </c>
      <c r="D107" s="2">
        <v>-17.350000000000001</v>
      </c>
      <c r="E107" s="2">
        <f t="shared" ref="E107:N107" si="125">E104</f>
        <v>0</v>
      </c>
      <c r="F107" s="2">
        <f t="shared" si="125"/>
        <v>0</v>
      </c>
      <c r="G107" s="2">
        <f t="shared" si="125"/>
        <v>-44.3</v>
      </c>
      <c r="H107" s="2">
        <f t="shared" si="125"/>
        <v>-71.8</v>
      </c>
      <c r="I107" s="2">
        <f t="shared" si="125"/>
        <v>-104.5</v>
      </c>
      <c r="J107" s="2">
        <v>-50</v>
      </c>
      <c r="K107" s="2">
        <f t="shared" si="125"/>
        <v>0</v>
      </c>
      <c r="L107" s="2">
        <f t="shared" si="125"/>
        <v>0</v>
      </c>
      <c r="M107" s="2">
        <f t="shared" si="125"/>
        <v>0</v>
      </c>
      <c r="N107" s="2">
        <f t="shared" si="125"/>
        <v>0</v>
      </c>
      <c r="R107" s="2">
        <f>R104</f>
        <v>-45.2</v>
      </c>
      <c r="S107" s="2">
        <f t="shared" ref="S107:Z107" si="126">S104</f>
        <v>-36.799999999999997</v>
      </c>
      <c r="T107" s="2">
        <f t="shared" si="126"/>
        <v>-124.3</v>
      </c>
      <c r="U107" s="2">
        <f t="shared" si="126"/>
        <v>-220.6</v>
      </c>
      <c r="V107" s="2">
        <f t="shared" si="126"/>
        <v>-397.20909295521039</v>
      </c>
      <c r="W107" s="2">
        <f t="shared" si="126"/>
        <v>-436.93000225073149</v>
      </c>
      <c r="X107" s="2">
        <f t="shared" si="126"/>
        <v>-480.6230024758047</v>
      </c>
      <c r="Y107" s="2">
        <f t="shared" si="126"/>
        <v>-528.68530272338523</v>
      </c>
      <c r="Z107" s="2">
        <f t="shared" si="126"/>
        <v>-581.55383299572384</v>
      </c>
    </row>
    <row r="108" spans="1:122" s="2" customFormat="1" ht="15" x14ac:dyDescent="0.25">
      <c r="A108" s="8"/>
      <c r="B108" s="2" t="s">
        <v>15</v>
      </c>
      <c r="C108" s="2">
        <f>C103+C107</f>
        <v>-2.63</v>
      </c>
      <c r="D108" s="2">
        <f t="shared" ref="D108:N108" si="127">D103+D107</f>
        <v>-17.350000000000001</v>
      </c>
      <c r="E108" s="2">
        <f t="shared" si="127"/>
        <v>0</v>
      </c>
      <c r="F108" s="2">
        <f t="shared" si="127"/>
        <v>0</v>
      </c>
      <c r="G108" s="2">
        <f t="shared" si="127"/>
        <v>363.1</v>
      </c>
      <c r="H108" s="2">
        <f t="shared" si="127"/>
        <v>96.000000000000185</v>
      </c>
      <c r="I108" s="2">
        <f t="shared" si="127"/>
        <v>661.84</v>
      </c>
      <c r="J108" s="2">
        <f t="shared" si="127"/>
        <v>121.6070499999999</v>
      </c>
      <c r="K108" s="2">
        <f t="shared" si="127"/>
        <v>380.83050510489136</v>
      </c>
      <c r="L108" s="2">
        <f t="shared" si="127"/>
        <v>400.6813246971526</v>
      </c>
      <c r="M108" s="2">
        <f t="shared" si="127"/>
        <v>421.27158167617142</v>
      </c>
      <c r="N108" s="2">
        <f t="shared" si="127"/>
        <v>662.69740799517285</v>
      </c>
      <c r="R108" s="2">
        <f>R103+R107</f>
        <v>-485.7999999999999</v>
      </c>
      <c r="S108" s="2">
        <f t="shared" ref="S108:T108" si="128">S103+S107</f>
        <v>626.70000000000005</v>
      </c>
      <c r="T108" s="2">
        <f t="shared" si="128"/>
        <v>-2610.0600000000004</v>
      </c>
      <c r="U108" s="2">
        <f t="shared" ref="U108" si="129">U103+U107</f>
        <v>1292.5470500000001</v>
      </c>
      <c r="V108" s="2">
        <f t="shared" ref="V108" si="130">V103+V107</f>
        <v>2950.4580769157837</v>
      </c>
      <c r="W108" s="2">
        <f t="shared" ref="W108" si="131">W103+W107</f>
        <v>3468.2695921015352</v>
      </c>
      <c r="X108" s="2">
        <f t="shared" ref="X108" si="132">X103+X107</f>
        <v>4062.0984012555123</v>
      </c>
      <c r="Y108" s="2">
        <f t="shared" ref="Y108" si="133">Y103+Y107</f>
        <v>4628.0037823215216</v>
      </c>
      <c r="Z108" s="2">
        <f t="shared" ref="Z108" si="134">Z103+Z107</f>
        <v>5262.2376539505503</v>
      </c>
      <c r="AA108" s="2">
        <f t="shared" ref="AA108:BF108" si="135">Z108*(1+$AC$56)</f>
        <v>5367.4824070295617</v>
      </c>
      <c r="AB108" s="2">
        <f t="shared" si="135"/>
        <v>5474.8320551701527</v>
      </c>
      <c r="AC108" s="2">
        <f t="shared" si="135"/>
        <v>5584.3286962735556</v>
      </c>
      <c r="AD108" s="2">
        <f t="shared" si="135"/>
        <v>5696.0152701990264</v>
      </c>
      <c r="AE108" s="2">
        <f t="shared" si="135"/>
        <v>5809.9355756030072</v>
      </c>
      <c r="AF108" s="2">
        <f t="shared" si="135"/>
        <v>5926.1342871150673</v>
      </c>
      <c r="AG108" s="2">
        <f t="shared" si="135"/>
        <v>6044.6569728573686</v>
      </c>
      <c r="AH108" s="2">
        <f t="shared" si="135"/>
        <v>6165.5501123145159</v>
      </c>
      <c r="AI108" s="2">
        <f t="shared" si="135"/>
        <v>6288.8611145608065</v>
      </c>
      <c r="AJ108" s="2">
        <f t="shared" si="135"/>
        <v>6414.6383368520228</v>
      </c>
      <c r="AK108" s="2">
        <f t="shared" si="135"/>
        <v>6542.9311035890632</v>
      </c>
      <c r="AL108" s="2">
        <f t="shared" si="135"/>
        <v>6673.7897256608449</v>
      </c>
      <c r="AM108" s="2">
        <f t="shared" si="135"/>
        <v>6807.2655201740617</v>
      </c>
      <c r="AN108" s="2">
        <f t="shared" si="135"/>
        <v>6943.4108305775435</v>
      </c>
      <c r="AO108" s="2">
        <f t="shared" si="135"/>
        <v>7082.2790471890949</v>
      </c>
      <c r="AP108" s="2">
        <f t="shared" si="135"/>
        <v>7223.9246281328769</v>
      </c>
      <c r="AQ108" s="2">
        <f t="shared" si="135"/>
        <v>7368.4031206955342</v>
      </c>
      <c r="AR108" s="2">
        <f t="shared" si="135"/>
        <v>7515.7711831094448</v>
      </c>
      <c r="AS108" s="2">
        <f t="shared" si="135"/>
        <v>7666.0866067716343</v>
      </c>
      <c r="AT108" s="2">
        <f t="shared" si="135"/>
        <v>7819.4083389070674</v>
      </c>
      <c r="AU108" s="2">
        <f t="shared" si="135"/>
        <v>7975.796505685209</v>
      </c>
      <c r="AV108" s="2">
        <f t="shared" si="135"/>
        <v>8135.3124357989136</v>
      </c>
      <c r="AW108" s="2">
        <f t="shared" si="135"/>
        <v>8298.0186845148928</v>
      </c>
      <c r="AX108" s="2">
        <f t="shared" si="135"/>
        <v>8463.9790582051901</v>
      </c>
      <c r="AY108" s="2">
        <f t="shared" si="135"/>
        <v>8633.2586393692945</v>
      </c>
      <c r="AZ108" s="2">
        <f t="shared" si="135"/>
        <v>8805.9238121566814</v>
      </c>
      <c r="BA108" s="2">
        <f t="shared" si="135"/>
        <v>8982.0422883998144</v>
      </c>
      <c r="BB108" s="2">
        <f t="shared" si="135"/>
        <v>9161.6831341678117</v>
      </c>
      <c r="BC108" s="2">
        <f t="shared" si="135"/>
        <v>9344.9167968511683</v>
      </c>
      <c r="BD108" s="2">
        <f t="shared" si="135"/>
        <v>9531.8151327881915</v>
      </c>
      <c r="BE108" s="2">
        <f t="shared" si="135"/>
        <v>9722.4514354439561</v>
      </c>
      <c r="BF108" s="2">
        <f t="shared" si="135"/>
        <v>9916.9004641528354</v>
      </c>
      <c r="BG108" s="2">
        <f t="shared" ref="BG108:CL108" si="136">BF108*(1+$AC$56)</f>
        <v>10115.238473435893</v>
      </c>
      <c r="BH108" s="2">
        <f t="shared" si="136"/>
        <v>10317.54324290461</v>
      </c>
      <c r="BI108" s="2">
        <f t="shared" si="136"/>
        <v>10523.894107762702</v>
      </c>
      <c r="BJ108" s="2">
        <f t="shared" si="136"/>
        <v>10734.371989917956</v>
      </c>
      <c r="BK108" s="2">
        <f t="shared" si="136"/>
        <v>10949.059429716315</v>
      </c>
      <c r="BL108" s="2">
        <f t="shared" si="136"/>
        <v>11168.040618310642</v>
      </c>
      <c r="BM108" s="2">
        <f t="shared" si="136"/>
        <v>11391.401430676855</v>
      </c>
      <c r="BN108" s="2">
        <f t="shared" si="136"/>
        <v>11619.229459290393</v>
      </c>
      <c r="BO108" s="2">
        <f t="shared" si="136"/>
        <v>11851.6140484762</v>
      </c>
      <c r="BP108" s="2">
        <f t="shared" si="136"/>
        <v>12088.646329445724</v>
      </c>
      <c r="BQ108" s="2">
        <f t="shared" si="136"/>
        <v>12330.419256034638</v>
      </c>
      <c r="BR108" s="2">
        <f t="shared" si="136"/>
        <v>12577.027641155331</v>
      </c>
      <c r="BS108" s="2">
        <f t="shared" si="136"/>
        <v>12828.568193978439</v>
      </c>
      <c r="BT108" s="2">
        <f t="shared" si="136"/>
        <v>13085.139557858009</v>
      </c>
      <c r="BU108" s="2">
        <f t="shared" si="136"/>
        <v>13346.842349015169</v>
      </c>
      <c r="BV108" s="2">
        <f t="shared" si="136"/>
        <v>13613.779195995472</v>
      </c>
      <c r="BW108" s="2">
        <f t="shared" si="136"/>
        <v>13886.054779915381</v>
      </c>
      <c r="BX108" s="2">
        <f t="shared" si="136"/>
        <v>14163.775875513689</v>
      </c>
      <c r="BY108" s="2">
        <f t="shared" si="136"/>
        <v>14447.051393023963</v>
      </c>
      <c r="BZ108" s="2">
        <f t="shared" si="136"/>
        <v>14735.992420884442</v>
      </c>
      <c r="CA108" s="2">
        <f t="shared" si="136"/>
        <v>15030.712269302132</v>
      </c>
      <c r="CB108" s="2">
        <f t="shared" si="136"/>
        <v>15331.326514688175</v>
      </c>
      <c r="CC108" s="2">
        <f t="shared" si="136"/>
        <v>15637.953044981939</v>
      </c>
      <c r="CD108" s="2">
        <f t="shared" si="136"/>
        <v>15950.712105881579</v>
      </c>
      <c r="CE108" s="2">
        <f t="shared" si="136"/>
        <v>16269.726347999211</v>
      </c>
      <c r="CF108" s="2">
        <f t="shared" si="136"/>
        <v>16595.120874959197</v>
      </c>
      <c r="CG108" s="2">
        <f t="shared" si="136"/>
        <v>16927.02329245838</v>
      </c>
      <c r="CH108" s="2">
        <f t="shared" si="136"/>
        <v>17265.563758307548</v>
      </c>
      <c r="CI108" s="2">
        <f t="shared" si="136"/>
        <v>17610.875033473698</v>
      </c>
      <c r="CJ108" s="2">
        <f t="shared" si="136"/>
        <v>17963.092534143172</v>
      </c>
      <c r="CK108" s="2">
        <f t="shared" si="136"/>
        <v>18322.354384826034</v>
      </c>
      <c r="CL108" s="2">
        <f t="shared" si="136"/>
        <v>18688.801472522555</v>
      </c>
      <c r="CM108" s="2">
        <f t="shared" ref="CM108:DR108" si="137">CL108*(1+$AC$56)</f>
        <v>19062.577501973006</v>
      </c>
      <c r="CN108" s="2">
        <f t="shared" si="137"/>
        <v>19443.829052012468</v>
      </c>
      <c r="CO108" s="2">
        <f t="shared" si="137"/>
        <v>19832.705633052719</v>
      </c>
      <c r="CP108" s="2">
        <f t="shared" si="137"/>
        <v>20229.359745713773</v>
      </c>
      <c r="CQ108" s="2">
        <f t="shared" si="137"/>
        <v>20633.946940628048</v>
      </c>
      <c r="CR108" s="2">
        <f t="shared" si="137"/>
        <v>21046.625879440609</v>
      </c>
      <c r="CS108" s="2">
        <f t="shared" si="137"/>
        <v>21467.558397029421</v>
      </c>
      <c r="CT108" s="2">
        <f t="shared" si="137"/>
        <v>21896.90956497001</v>
      </c>
      <c r="CU108" s="2">
        <f t="shared" si="137"/>
        <v>22334.84775626941</v>
      </c>
      <c r="CV108" s="2">
        <f t="shared" si="137"/>
        <v>22781.544711394799</v>
      </c>
      <c r="CW108" s="2">
        <f t="shared" si="137"/>
        <v>23237.175605622695</v>
      </c>
      <c r="CX108" s="2">
        <f t="shared" si="137"/>
        <v>23701.919117735149</v>
      </c>
      <c r="CY108" s="2">
        <f t="shared" si="137"/>
        <v>24175.957500089851</v>
      </c>
      <c r="CZ108" s="2">
        <f t="shared" si="137"/>
        <v>24659.476650091648</v>
      </c>
      <c r="DA108" s="2">
        <f t="shared" si="137"/>
        <v>25152.666183093483</v>
      </c>
      <c r="DB108" s="2">
        <f t="shared" si="137"/>
        <v>25655.719506755351</v>
      </c>
      <c r="DC108" s="2">
        <f t="shared" si="137"/>
        <v>26168.833896890457</v>
      </c>
      <c r="DD108" s="2">
        <f t="shared" si="137"/>
        <v>26692.210574828267</v>
      </c>
      <c r="DE108" s="2">
        <f t="shared" si="137"/>
        <v>27226.054786324832</v>
      </c>
      <c r="DF108" s="2">
        <f t="shared" si="137"/>
        <v>27770.575882051329</v>
      </c>
      <c r="DG108" s="2">
        <f t="shared" si="137"/>
        <v>28325.987399692356</v>
      </c>
      <c r="DH108" s="2">
        <f t="shared" si="137"/>
        <v>28892.507147686203</v>
      </c>
      <c r="DI108" s="2">
        <f t="shared" si="137"/>
        <v>29470.357290639928</v>
      </c>
      <c r="DJ108" s="2">
        <f t="shared" si="137"/>
        <v>30059.764436452726</v>
      </c>
      <c r="DK108" s="2">
        <f t="shared" si="137"/>
        <v>30660.95972518178</v>
      </c>
      <c r="DL108" s="2">
        <f t="shared" si="137"/>
        <v>31274.178919685415</v>
      </c>
      <c r="DM108" s="2">
        <f t="shared" si="137"/>
        <v>31899.662498079124</v>
      </c>
      <c r="DN108" s="2">
        <f t="shared" si="137"/>
        <v>32537.655748040706</v>
      </c>
      <c r="DO108" s="2">
        <f t="shared" si="137"/>
        <v>33188.408863001518</v>
      </c>
      <c r="DP108" s="2">
        <f t="shared" si="137"/>
        <v>33852.177040261551</v>
      </c>
      <c r="DQ108" s="2">
        <f t="shared" si="137"/>
        <v>34529.22058106678</v>
      </c>
      <c r="DR108" s="2">
        <f t="shared" si="137"/>
        <v>35219.804992688114</v>
      </c>
    </row>
  </sheetData>
  <hyperlinks>
    <hyperlink ref="A1" location="main!A1" display="Main" xr:uid="{59AA8257-1596-43FF-803F-69279BD13128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2025-02-12T01:52:33Z</dcterms:created>
  <dcterms:modified xsi:type="dcterms:W3CDTF">2025-05-31T07:39:26Z</dcterms:modified>
</cp:coreProperties>
</file>