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6589FEA-D58D-4175-BD8D-BFEDFEEA6B4F}" xr6:coauthVersionLast="47" xr6:coauthVersionMax="47" xr10:uidLastSave="{00000000-0000-0000-0000-000000000000}"/>
  <bookViews>
    <workbookView xWindow="4740" yWindow="915" windowWidth="2074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5" i="2"/>
  <c r="J16" i="2"/>
  <c r="J17" i="2"/>
  <c r="J18" i="2"/>
  <c r="K15" i="2"/>
  <c r="L15" i="2" s="1"/>
  <c r="M15" i="2" s="1"/>
  <c r="K18" i="2"/>
  <c r="L18" i="2" s="1"/>
  <c r="M18" i="2" s="1"/>
  <c r="K17" i="2"/>
  <c r="L17" i="2" s="1"/>
  <c r="M17" i="2" s="1"/>
  <c r="J20" i="2"/>
  <c r="K20" i="2" s="1"/>
  <c r="L20" i="2" s="1"/>
  <c r="M20" i="2" s="1"/>
  <c r="V84" i="2"/>
  <c r="W84" i="2" s="1"/>
  <c r="X84" i="2" s="1"/>
  <c r="Y84" i="2" s="1"/>
  <c r="Z84" i="2" s="1"/>
  <c r="J102" i="2"/>
  <c r="W102" i="2"/>
  <c r="X102" i="2" s="1"/>
  <c r="Y102" i="2" s="1"/>
  <c r="Z102" i="2" s="1"/>
  <c r="H10" i="2"/>
  <c r="I10" i="2"/>
  <c r="S13" i="2"/>
  <c r="T13" i="2"/>
  <c r="U13" i="2"/>
  <c r="T102" i="2"/>
  <c r="U102" i="2"/>
  <c r="S102" i="2"/>
  <c r="I102" i="2"/>
  <c r="C103" i="2"/>
  <c r="D103" i="2"/>
  <c r="E103" i="2"/>
  <c r="F103" i="2"/>
  <c r="G103" i="2"/>
  <c r="H103" i="2"/>
  <c r="J103" i="2"/>
  <c r="K103" i="2"/>
  <c r="B103" i="2"/>
  <c r="I99" i="2"/>
  <c r="I98" i="2"/>
  <c r="I96" i="2"/>
  <c r="V36" i="2"/>
  <c r="W36" i="2" s="1"/>
  <c r="X36" i="2" s="1"/>
  <c r="Y36" i="2" s="1"/>
  <c r="Z36" i="2" s="1"/>
  <c r="V85" i="2"/>
  <c r="W85" i="2" s="1"/>
  <c r="X85" i="2" s="1"/>
  <c r="Y85" i="2" s="1"/>
  <c r="Z85" i="2" s="1"/>
  <c r="Q19" i="2"/>
  <c r="Q22" i="2" s="1"/>
  <c r="Q45" i="2" s="1"/>
  <c r="R19" i="2"/>
  <c r="R22" i="2" s="1"/>
  <c r="R45" i="2" s="1"/>
  <c r="S19" i="2"/>
  <c r="T19" i="2"/>
  <c r="U19" i="2"/>
  <c r="U47" i="2" s="1"/>
  <c r="P19" i="2"/>
  <c r="P22" i="2" s="1"/>
  <c r="P45" i="2" s="1"/>
  <c r="C19" i="2"/>
  <c r="D19" i="2"/>
  <c r="E19" i="2"/>
  <c r="F19" i="2"/>
  <c r="G19" i="2"/>
  <c r="H19" i="2"/>
  <c r="I19" i="2"/>
  <c r="B19" i="2"/>
  <c r="I5" i="1"/>
  <c r="W31" i="2"/>
  <c r="X31" i="2" s="1"/>
  <c r="Y31" i="2" s="1"/>
  <c r="Z31" i="2" s="1"/>
  <c r="E3" i="2"/>
  <c r="I3" i="2"/>
  <c r="I8" i="2"/>
  <c r="E8" i="2"/>
  <c r="D10" i="2"/>
  <c r="E10" i="2"/>
  <c r="V86" i="2"/>
  <c r="W86" i="2" s="1"/>
  <c r="X86" i="2" s="1"/>
  <c r="Y86" i="2" s="1"/>
  <c r="Z86" i="2" s="1"/>
  <c r="V87" i="2"/>
  <c r="W87" i="2" s="1"/>
  <c r="X87" i="2" s="1"/>
  <c r="Y87" i="2" s="1"/>
  <c r="Z87" i="2" s="1"/>
  <c r="V88" i="2"/>
  <c r="W88" i="2" s="1"/>
  <c r="X88" i="2" s="1"/>
  <c r="Y88" i="2" s="1"/>
  <c r="Z88" i="2" s="1"/>
  <c r="V89" i="2"/>
  <c r="W89" i="2" s="1"/>
  <c r="X89" i="2" s="1"/>
  <c r="Y89" i="2" s="1"/>
  <c r="Z89" i="2" s="1"/>
  <c r="V90" i="2"/>
  <c r="W90" i="2" s="1"/>
  <c r="X90" i="2" s="1"/>
  <c r="Y90" i="2" s="1"/>
  <c r="Z90" i="2" s="1"/>
  <c r="V91" i="2"/>
  <c r="W91" i="2" s="1"/>
  <c r="X91" i="2" s="1"/>
  <c r="Y91" i="2" s="1"/>
  <c r="Z91" i="2" s="1"/>
  <c r="V92" i="2"/>
  <c r="W92" i="2" s="1"/>
  <c r="X92" i="2" s="1"/>
  <c r="Y92" i="2" s="1"/>
  <c r="Z92" i="2" s="1"/>
  <c r="V93" i="2"/>
  <c r="W93" i="2" s="1"/>
  <c r="X93" i="2" s="1"/>
  <c r="Y93" i="2" s="1"/>
  <c r="Z93" i="2" s="1"/>
  <c r="V94" i="2"/>
  <c r="W94" i="2" s="1"/>
  <c r="X94" i="2" s="1"/>
  <c r="Y94" i="2" s="1"/>
  <c r="Z94" i="2" s="1"/>
  <c r="V95" i="2"/>
  <c r="W95" i="2" s="1"/>
  <c r="X95" i="2" s="1"/>
  <c r="Y95" i="2" s="1"/>
  <c r="Z95" i="2" s="1"/>
  <c r="T31" i="2"/>
  <c r="U31" i="2"/>
  <c r="F21" i="2"/>
  <c r="B21" i="2"/>
  <c r="U58" i="2"/>
  <c r="P27" i="2"/>
  <c r="P28" i="2" s="1"/>
  <c r="P56" i="2"/>
  <c r="Q28" i="2"/>
  <c r="G21" i="2"/>
  <c r="C21" i="2"/>
  <c r="D21" i="2"/>
  <c r="H21" i="2"/>
  <c r="H36" i="2"/>
  <c r="U99" i="2"/>
  <c r="T99" i="2"/>
  <c r="S99" i="2"/>
  <c r="U98" i="2"/>
  <c r="T98" i="2"/>
  <c r="S98" i="2"/>
  <c r="T96" i="2"/>
  <c r="U96" i="2"/>
  <c r="S96" i="2"/>
  <c r="J13" i="2" l="1"/>
  <c r="K16" i="2"/>
  <c r="L16" i="2" s="1"/>
  <c r="M16" i="2" s="1"/>
  <c r="T47" i="2"/>
  <c r="M6" i="2"/>
  <c r="M13" i="2"/>
  <c r="K13" i="2"/>
  <c r="L13" i="2"/>
  <c r="S47" i="2"/>
  <c r="I103" i="2"/>
  <c r="V20" i="2"/>
  <c r="W20" i="2" s="1"/>
  <c r="X20" i="2" s="1"/>
  <c r="Y20" i="2" s="1"/>
  <c r="Z20" i="2" s="1"/>
  <c r="G22" i="2"/>
  <c r="E47" i="2"/>
  <c r="F22" i="2"/>
  <c r="J19" i="2"/>
  <c r="I47" i="2"/>
  <c r="B22" i="2"/>
  <c r="R47" i="2"/>
  <c r="Q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P24" i="2"/>
  <c r="P43" i="2" s="1"/>
  <c r="U103" i="2"/>
  <c r="S103" i="2"/>
  <c r="I75" i="2"/>
  <c r="I76" i="2" s="1"/>
  <c r="I65" i="2"/>
  <c r="I58" i="2"/>
  <c r="U75" i="2"/>
  <c r="U76" i="2" s="1"/>
  <c r="T75" i="2"/>
  <c r="T76" i="2" s="1"/>
  <c r="U65" i="2"/>
  <c r="T65" i="2"/>
  <c r="T58" i="2"/>
  <c r="T56" i="2" s="1"/>
  <c r="J47" i="2" l="1"/>
  <c r="U104" i="2"/>
  <c r="S104" i="2"/>
  <c r="T103" i="2"/>
  <c r="K19" i="2"/>
  <c r="V16" i="2"/>
  <c r="V18" i="2"/>
  <c r="W18" i="2" s="1"/>
  <c r="X18" i="2" s="1"/>
  <c r="Y18" i="2" s="1"/>
  <c r="Z18" i="2" s="1"/>
  <c r="V17" i="2"/>
  <c r="W17" i="2" s="1"/>
  <c r="X17" i="2" s="1"/>
  <c r="Y17" i="2" s="1"/>
  <c r="Z17" i="2" s="1"/>
  <c r="P49" i="2"/>
  <c r="P29" i="2"/>
  <c r="P32" i="2" s="1"/>
  <c r="Q24" i="2"/>
  <c r="Q38" i="2"/>
  <c r="Q49" i="2"/>
  <c r="I66" i="2"/>
  <c r="I77" i="2" s="1"/>
  <c r="I78" i="2" s="1"/>
  <c r="T66" i="2"/>
  <c r="T77" i="2" s="1"/>
  <c r="T78" i="2" s="1"/>
  <c r="U66" i="2"/>
  <c r="U77" i="2" s="1"/>
  <c r="C56" i="2"/>
  <c r="D56" i="2"/>
  <c r="E56" i="2"/>
  <c r="F56" i="2"/>
  <c r="G56" i="2"/>
  <c r="H56" i="2"/>
  <c r="I56" i="2"/>
  <c r="J30" i="2" s="1"/>
  <c r="B56" i="2"/>
  <c r="R56" i="2"/>
  <c r="S56" i="2"/>
  <c r="Q56" i="2"/>
  <c r="U56" i="2"/>
  <c r="V30" i="2" s="1"/>
  <c r="K47" i="2" l="1"/>
  <c r="W16" i="2"/>
  <c r="X16" i="2" s="1"/>
  <c r="Y16" i="2" s="1"/>
  <c r="Z16" i="2" s="1"/>
  <c r="V13" i="2"/>
  <c r="T104" i="2"/>
  <c r="L19" i="2"/>
  <c r="P44" i="2"/>
  <c r="U78" i="2"/>
  <c r="P40" i="2"/>
  <c r="P34" i="2"/>
  <c r="Q43" i="2"/>
  <c r="Q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U48" i="2"/>
  <c r="T48" i="2"/>
  <c r="U21" i="2"/>
  <c r="U22" i="2" s="1"/>
  <c r="U45" i="2" s="1"/>
  <c r="T21" i="2"/>
  <c r="T22" i="2" s="1"/>
  <c r="T45" i="2" s="1"/>
  <c r="S21" i="2"/>
  <c r="S22" i="2" s="1"/>
  <c r="S45" i="2" s="1"/>
  <c r="R28" i="2"/>
  <c r="U28" i="2"/>
  <c r="T28" i="2"/>
  <c r="S28" i="2"/>
  <c r="I2" i="2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I4" i="1"/>
  <c r="I7" i="1" s="1"/>
  <c r="I22" i="2" l="1"/>
  <c r="I45" i="2" s="1"/>
  <c r="J21" i="2"/>
  <c r="K21" i="2" s="1"/>
  <c r="L47" i="2"/>
  <c r="M19" i="2"/>
  <c r="V15" i="2"/>
  <c r="W15" i="2" s="1"/>
  <c r="X15" i="2" s="1"/>
  <c r="Y15" i="2" s="1"/>
  <c r="Z15" i="2" s="1"/>
  <c r="E4" i="2"/>
  <c r="E22" i="2"/>
  <c r="J22" i="2"/>
  <c r="I4" i="2"/>
  <c r="G24" i="2"/>
  <c r="D24" i="2"/>
  <c r="D43" i="2" s="1"/>
  <c r="C24" i="2"/>
  <c r="P42" i="2"/>
  <c r="Q32" i="2"/>
  <c r="Q44" i="2"/>
  <c r="R24" i="2"/>
  <c r="R43" i="2" s="1"/>
  <c r="T80" i="2"/>
  <c r="G38" i="2"/>
  <c r="H38" i="2"/>
  <c r="H24" i="2"/>
  <c r="V48" i="2"/>
  <c r="W48" i="2"/>
  <c r="S80" i="2"/>
  <c r="L21" i="2" l="1"/>
  <c r="K22" i="2"/>
  <c r="J59" i="2"/>
  <c r="M47" i="2"/>
  <c r="K23" i="2"/>
  <c r="V19" i="2"/>
  <c r="V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Q34" i="2"/>
  <c r="Q40" i="2"/>
  <c r="R29" i="2"/>
  <c r="R44" i="2" s="1"/>
  <c r="R80" i="2"/>
  <c r="R49" i="2"/>
  <c r="R38" i="2"/>
  <c r="E24" i="2"/>
  <c r="E39" i="2"/>
  <c r="G29" i="2"/>
  <c r="G43" i="2"/>
  <c r="J39" i="2"/>
  <c r="C29" i="2"/>
  <c r="C43" i="2"/>
  <c r="H29" i="2"/>
  <c r="H43" i="2"/>
  <c r="I38" i="2"/>
  <c r="I80" i="2"/>
  <c r="U24" i="2"/>
  <c r="U43" i="2" s="1"/>
  <c r="U80" i="2"/>
  <c r="U38" i="2"/>
  <c r="U49" i="2"/>
  <c r="I24" i="2"/>
  <c r="T24" i="2"/>
  <c r="T49" i="2"/>
  <c r="S24" i="2"/>
  <c r="S43" i="2" s="1"/>
  <c r="S49" i="2"/>
  <c r="X48" i="2"/>
  <c r="T38" i="2"/>
  <c r="S38" i="2"/>
  <c r="Y48" i="2"/>
  <c r="M21" i="2" l="1"/>
  <c r="M22" i="2" s="1"/>
  <c r="M23" i="2" s="1"/>
  <c r="L22" i="2"/>
  <c r="N22" i="2"/>
  <c r="J26" i="2"/>
  <c r="J27" i="2"/>
  <c r="J25" i="2"/>
  <c r="K26" i="2"/>
  <c r="K25" i="2"/>
  <c r="K27" i="2"/>
  <c r="K49" i="2"/>
  <c r="W19" i="2"/>
  <c r="W47" i="2" s="1"/>
  <c r="B29" i="2"/>
  <c r="B32" i="2" s="1"/>
  <c r="B34" i="2" s="1"/>
  <c r="B42" i="2" s="1"/>
  <c r="F29" i="2"/>
  <c r="F32" i="2" s="1"/>
  <c r="F34" i="2" s="1"/>
  <c r="V21" i="2"/>
  <c r="L49" i="2"/>
  <c r="L38" i="2"/>
  <c r="D44" i="2"/>
  <c r="U29" i="2"/>
  <c r="U32" i="2" s="1"/>
  <c r="U34" i="2" s="1"/>
  <c r="U35" i="2" s="1"/>
  <c r="R32" i="2"/>
  <c r="R40" i="2" s="1"/>
  <c r="Q42" i="2"/>
  <c r="H32" i="2"/>
  <c r="H44" i="2"/>
  <c r="C32" i="2"/>
  <c r="C44" i="2"/>
  <c r="I29" i="2"/>
  <c r="I43" i="2"/>
  <c r="G32" i="2"/>
  <c r="G44" i="2"/>
  <c r="E29" i="2"/>
  <c r="E43" i="2"/>
  <c r="D34" i="2"/>
  <c r="D40" i="2"/>
  <c r="S29" i="2"/>
  <c r="S44" i="2" s="1"/>
  <c r="T43" i="2"/>
  <c r="T29" i="2"/>
  <c r="V22" i="2" l="1"/>
  <c r="L23" i="2"/>
  <c r="L39" i="2"/>
  <c r="F40" i="2"/>
  <c r="B40" i="2"/>
  <c r="F44" i="2"/>
  <c r="L27" i="2"/>
  <c r="L25" i="2"/>
  <c r="L26" i="2"/>
  <c r="W21" i="2"/>
  <c r="X21" i="2" s="1"/>
  <c r="Y21" i="2" s="1"/>
  <c r="Z21" i="2" s="1"/>
  <c r="B82" i="2"/>
  <c r="B35" i="2"/>
  <c r="X19" i="2"/>
  <c r="X47" i="2" s="1"/>
  <c r="B44" i="2"/>
  <c r="U40" i="2"/>
  <c r="R34" i="2"/>
  <c r="R42" i="2" s="1"/>
  <c r="U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S32" i="2"/>
  <c r="S40" i="2" s="1"/>
  <c r="U42" i="2"/>
  <c r="U82" i="2"/>
  <c r="T32" i="2"/>
  <c r="T44" i="2"/>
  <c r="Z48" i="2"/>
  <c r="W22" i="2" l="1"/>
  <c r="W38" i="2" s="1"/>
  <c r="M25" i="2"/>
  <c r="M26" i="2"/>
  <c r="M27" i="2"/>
  <c r="Z19" i="2"/>
  <c r="Y19" i="2"/>
  <c r="Y47" i="2" s="1"/>
  <c r="V80" i="2"/>
  <c r="V38" i="2"/>
  <c r="V49" i="2"/>
  <c r="X22" i="2"/>
  <c r="H42" i="2"/>
  <c r="H35" i="2"/>
  <c r="H82" i="2"/>
  <c r="G42" i="2"/>
  <c r="G82" i="2"/>
  <c r="C42" i="2"/>
  <c r="C82" i="2"/>
  <c r="E34" i="2"/>
  <c r="E40" i="2"/>
  <c r="S34" i="2"/>
  <c r="I34" i="2"/>
  <c r="I40" i="2"/>
  <c r="S42" i="2"/>
  <c r="T40" i="2"/>
  <c r="T34" i="2"/>
  <c r="Z47" i="2" l="1"/>
  <c r="W80" i="2"/>
  <c r="W49" i="2"/>
  <c r="Y22" i="2"/>
  <c r="V27" i="2"/>
  <c r="V26" i="2"/>
  <c r="V25" i="2"/>
  <c r="I42" i="2"/>
  <c r="I35" i="2"/>
  <c r="I82" i="2"/>
  <c r="E42" i="2"/>
  <c r="E35" i="2"/>
  <c r="E82" i="2"/>
  <c r="S82" i="2"/>
  <c r="T42" i="2"/>
  <c r="T82" i="2"/>
  <c r="W27" i="2" l="1"/>
  <c r="W26" i="2"/>
  <c r="X80" i="2"/>
  <c r="X49" i="2"/>
  <c r="X38" i="2"/>
  <c r="V28" i="2"/>
  <c r="W25" i="2"/>
  <c r="X25" i="2" l="1"/>
  <c r="Z22" i="2"/>
  <c r="Z38" i="2" s="1"/>
  <c r="Y80" i="2"/>
  <c r="Y49" i="2"/>
  <c r="Y38" i="2"/>
  <c r="Y25" i="2" s="1"/>
  <c r="Z25" i="2" s="1"/>
  <c r="X26" i="2"/>
  <c r="X27" i="2"/>
  <c r="Y27" i="2" s="1"/>
  <c r="Z27" i="2" l="1"/>
  <c r="Y26" i="2"/>
  <c r="Z26" i="2" s="1"/>
  <c r="Z49" i="2"/>
  <c r="Z80" i="2"/>
  <c r="Y28" i="2" l="1"/>
  <c r="X28" i="2"/>
  <c r="W28" i="2"/>
  <c r="Z28" i="2"/>
  <c r="W23" i="2"/>
  <c r="W24" i="2" s="1"/>
  <c r="W29" i="2" l="1"/>
  <c r="W44" i="2" s="1"/>
  <c r="X23" i="2" l="1"/>
  <c r="X24" i="2" s="1"/>
  <c r="X29" i="2" s="1"/>
  <c r="X44" i="2" l="1"/>
  <c r="Z23" i="2"/>
  <c r="Z24" i="2" s="1"/>
  <c r="Z29" i="2" s="1"/>
  <c r="Y23" i="2"/>
  <c r="Y24" i="2" s="1"/>
  <c r="Y29" i="2" s="1"/>
  <c r="Y44" i="2" l="1"/>
  <c r="Z44" i="2"/>
  <c r="J28" i="2" l="1"/>
  <c r="K28" i="2"/>
  <c r="M28" i="2" l="1"/>
  <c r="L28" i="2"/>
  <c r="M24" i="2"/>
  <c r="M29" i="2" s="1"/>
  <c r="M44" i="2" s="1"/>
  <c r="L24" i="2"/>
  <c r="L29" i="2" s="1"/>
  <c r="L44" i="2" s="1"/>
  <c r="J23" i="2"/>
  <c r="K24" i="2"/>
  <c r="K29" i="2" s="1"/>
  <c r="K32" i="2" l="1"/>
  <c r="K44" i="2"/>
  <c r="M32" i="2"/>
  <c r="K33" i="2"/>
  <c r="K34" i="2" s="1"/>
  <c r="L32" i="2"/>
  <c r="V23" i="2"/>
  <c r="V24" i="2" s="1"/>
  <c r="V29" i="2" s="1"/>
  <c r="J24" i="2"/>
  <c r="J29" i="2" s="1"/>
  <c r="K42" i="2" l="1"/>
  <c r="K35" i="2"/>
  <c r="K82" i="2"/>
  <c r="K83" i="2" s="1"/>
  <c r="V32" i="2"/>
  <c r="V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V33" i="2"/>
  <c r="V34" i="2" s="1"/>
  <c r="J56" i="2" l="1"/>
  <c r="K58" i="2"/>
  <c r="V56" i="2"/>
  <c r="V82" i="2"/>
  <c r="V83" i="2" s="1"/>
  <c r="V96" i="2" s="1"/>
  <c r="V103" i="2" s="1"/>
  <c r="V42" i="2"/>
  <c r="V35" i="2"/>
  <c r="J82" i="2"/>
  <c r="J83" i="2" s="1"/>
  <c r="J35" i="2"/>
  <c r="J42" i="2"/>
  <c r="K56" i="2" l="1"/>
  <c r="L58" i="2"/>
  <c r="V104" i="2"/>
  <c r="V45" i="2"/>
  <c r="W30" i="2"/>
  <c r="W32" i="2" s="1"/>
  <c r="M58" i="2" l="1"/>
  <c r="M56" i="2" s="1"/>
  <c r="L56" i="2"/>
  <c r="W33" i="2"/>
  <c r="W34" i="2" s="1"/>
  <c r="W42" i="2" l="1"/>
  <c r="W35" i="2"/>
  <c r="W82" i="2"/>
  <c r="W83" i="2" s="1"/>
  <c r="W96" i="2" s="1"/>
  <c r="W103" i="2" s="1"/>
  <c r="W56" i="2"/>
  <c r="X30" i="2" l="1"/>
  <c r="X32" i="2" s="1"/>
  <c r="W45" i="2"/>
  <c r="W104" i="2"/>
  <c r="X33" i="2" l="1"/>
  <c r="X34" i="2" s="1"/>
  <c r="X82" i="2" l="1"/>
  <c r="X83" i="2" s="1"/>
  <c r="X96" i="2" s="1"/>
  <c r="X103" i="2" s="1"/>
  <c r="X35" i="2"/>
  <c r="X42" i="2"/>
  <c r="X56" i="2"/>
  <c r="Y30" i="2" l="1"/>
  <c r="Y32" i="2" s="1"/>
  <c r="X45" i="2"/>
  <c r="X104" i="2"/>
  <c r="Y33" i="2" l="1"/>
  <c r="Y34" i="2" s="1"/>
  <c r="Y42" i="2" l="1"/>
  <c r="Y82" i="2"/>
  <c r="Y83" i="2" s="1"/>
  <c r="Y96" i="2" s="1"/>
  <c r="Y103" i="2" s="1"/>
  <c r="Y35" i="2"/>
  <c r="Y56" i="2"/>
  <c r="Z30" i="2" l="1"/>
  <c r="Z32" i="2" s="1"/>
  <c r="Y104" i="2"/>
  <c r="Y45" i="2"/>
  <c r="Z33" i="2" l="1"/>
  <c r="Z34" i="2" s="1"/>
  <c r="Z42" i="2" l="1"/>
  <c r="Z82" i="2"/>
  <c r="Z83" i="2" s="1"/>
  <c r="Z96" i="2" s="1"/>
  <c r="Z103" i="2" s="1"/>
  <c r="Z35" i="2"/>
  <c r="AA34" i="2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Z56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FG103" i="2" s="1"/>
  <c r="AC99" i="2" s="1"/>
  <c r="AC100" i="2" s="1"/>
  <c r="AC101" i="2" s="1"/>
  <c r="Z45" i="2"/>
  <c r="Z104" i="2"/>
  <c r="K59" i="2"/>
  <c r="L59" i="2"/>
  <c r="M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tc={3B68AEFE-707F-4EB5-AB45-6DCA4A93072B}</author>
    <author>tc={B2A26FD5-756A-4436-88C9-DC45B78A3F12}</author>
    <author>tc={50D81D40-768D-4E6C-B865-C43BC614BF3C}</author>
  </authors>
  <commentList>
    <comment ref="L10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V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J73" authorId="2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3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V102" authorId="4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<sst xmlns="http://schemas.openxmlformats.org/spreadsheetml/2006/main" count="142" uniqueCount="125">
  <si>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</si>
  <si>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</si>
  <si>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</si>
  <si>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</si>
  <si>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</si>
  <si>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</si>
  <si>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</si>
  <si>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</si>
  <si>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</si>
  <si>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</si>
  <si>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</si>
  <si>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</si>
  <si>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</si>
  <si>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</si>
  <si>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</si>
  <si>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</si>
  <si>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</si>
  <si>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</si>
  <si>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</si>
  <si>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</si>
  <si>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</si>
  <si>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</si>
  <si>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</si>
  <si>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</si>
  <si>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</si>
  <si>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</si>
  <si>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</si>
  <si>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</si>
  <si>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</si>
  <si>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</si>
  <si>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</si>
  <si>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</si>
  <si>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</si>
  <si>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</si>
  <si>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</si>
  <si>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</si>
  <si>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</si>
  <si>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</si>
  <si>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</si>
  <si>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</si>
  <si>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</si>
  <si>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</si>
  <si>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</si>
  <si>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</si>
  <si>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</si>
  <si>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</si>
  <si>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</si>
  <si>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</si>
  <si>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</si>
  <si>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</si>
  <si>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</si>
  <si>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</si>
  <si>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</si>
  <si>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</si>
  <si>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</si>
  <si>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</si>
  <si>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</si>
  <si>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</si>
  <si>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</si>
  <si>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</si>
  <si>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</si>
  <si>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</si>
  <si>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</si>
  <si>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</si>
  <si>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</si>
  <si>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</si>
  <si>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</si>
  <si>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</si>
  <si>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</si>
  <si>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</si>
  <si>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</si>
  <si>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</si>
  <si>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</si>
  <si>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</si>
  <si>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</si>
  <si>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</si>
  <si>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</si>
  <si>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</si>
  <si>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</si>
  <si>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</si>
  <si>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</si>
  <si>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</si>
  <si>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</si>
  <si>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</si>
  <si>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</si>
  <si>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</si>
  <si>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</si>
  <si>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</si>
  <si>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</si>
  <si>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</si>
  <si>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</si>
  <si>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</si>
  <si>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</si>
  <si>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</si>
  <si>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</si>
  <si>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</si>
  <si>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</si>
  <si>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</si>
  <si>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</si>
  <si>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</si>
  <si>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</si>
  <si>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</si>
  <si>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</si>
  <si>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</si>
  <si>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</si>
  <si>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</si>
  <si>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</si>
  <si>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</si>
  <si>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</si>
  <si>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</si>
  <si>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</si>
  <si>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</si>
  <si>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</si>
  <si>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</si>
  <si>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</si>
  <si>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</si>
  <si>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</si>
  <si>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Mine</t>
  </si>
  <si>
    <t>Actual</t>
  </si>
  <si>
    <t>Consensus</t>
  </si>
  <si>
    <t>Expected Move</t>
  </si>
  <si>
    <t>Actual Move</t>
  </si>
  <si>
    <t>No Change</t>
  </si>
  <si>
    <t>5% incr</t>
  </si>
  <si>
    <t>3% 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</si>
</sst>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180975</xdr:rowOff>
    </xdr:from>
    <xdr:to>
      <xdr:col>21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3068300" y="180975"/>
          <a:ext cx="9525" cy="14839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0" dT="2025-04-24T20:04:58.81" personId="{3A2E8EA1-30C2-44C0-B0DD-30A8B6E5D02D}" id="{6FF532F1-830D-4259-9AB9-82FDC064399F}">
    <text xml:space="preserve">Normalized </text>
  </threadedComment>
  <threadedComment ref="V13" dT="2025-04-24T04:47:45.78" personId="{3A2E8EA1-30C2-44C0-B0DD-30A8B6E5D02D}" id="{B99DE3B8-CC20-4BAA-9DF2-73E63E2833F9}">
    <text>“YT &amp; Cloud exit 2024 at a annual run rate of 110B”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V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B16" sqref="B16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156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1911000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1826226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L104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P11" sqref="P11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14" width="9.140625" style="2"/>
    <col min="15" max="15" width="13.5703125" style="2" customWidth="1"/>
    <col min="16" max="20" width="9.140625" style="2"/>
    <col min="21" max="21" width="10.5703125" style="2" bestFit="1" customWidth="1"/>
    <col min="22" max="22" width="9.5703125" style="2" bestFit="1" customWidth="1"/>
    <col min="23" max="23" width="9.140625" style="2"/>
    <col min="24" max="24" width="8.5703125" style="2" customWidth="1"/>
    <col min="25" max="25" width="9.42578125" style="2" customWidth="1"/>
    <col min="26" max="26" width="9.7109375" style="2" customWidth="1"/>
    <col min="27" max="28" width="9.140625" style="2"/>
    <col min="29" max="29" width="9.85546875" style="2" customWidth="1"/>
    <col min="30" max="16384" width="9.140625" style="2"/>
  </cols>
  <sheetData>
    <row r="1" spans="1:31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P1" s="4">
        <v>2019</v>
      </c>
      <c r="Q1" s="4">
        <v>2020</v>
      </c>
      <c r="R1" s="4">
        <f>Q1+1</f>
        <v>2021</v>
      </c>
      <c r="S1" s="4">
        <f t="shared" ref="S1:Z1" si="0">R1+1</f>
        <v>2022</v>
      </c>
      <c r="T1" s="4">
        <f t="shared" si="0"/>
        <v>2023</v>
      </c>
      <c r="U1" s="4">
        <f t="shared" si="0"/>
        <v>2024</v>
      </c>
      <c r="V1" s="4">
        <f t="shared" si="0"/>
        <v>2025</v>
      </c>
      <c r="W1" s="4">
        <f t="shared" si="0"/>
        <v>2026</v>
      </c>
      <c r="X1" s="4">
        <f t="shared" si="0"/>
        <v>2027</v>
      </c>
      <c r="Y1" s="4">
        <f t="shared" si="0"/>
        <v>2028</v>
      </c>
      <c r="Z1" s="4">
        <f t="shared" si="0"/>
        <v>2029</v>
      </c>
      <c r="AA1" s="4">
        <f t="shared" ref="AA1" si="1">Z1+1</f>
        <v>2030</v>
      </c>
      <c r="AB1" s="4">
        <f t="shared" ref="AB1" si="2">AA1+1</f>
        <v>2031</v>
      </c>
      <c r="AC1" s="4">
        <f t="shared" ref="AC1" si="3">AB1+1</f>
        <v>2032</v>
      </c>
      <c r="AD1" s="4">
        <f t="shared" ref="AD1" si="4">AC1+1</f>
        <v>2033</v>
      </c>
      <c r="AE1" s="4">
        <f t="shared" ref="AE1" si="5">AD1+1</f>
        <v>2034</v>
      </c>
    </row>
    <row r="2" spans="1:31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31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31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1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5451.48</v>
      </c>
      <c r="K6" s="2">
        <f>K3*K20</f>
        <v>6214.6871999999994</v>
      </c>
      <c r="L6" s="2">
        <f>L3*L20</f>
        <v>7084.7434079999985</v>
      </c>
      <c r="M6" s="2">
        <f>M3*M20</f>
        <v>8076.6074851199974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x14ac:dyDescent="0.25">
      <c r="A7" s="2" t="s">
        <v>99</v>
      </c>
      <c r="B7" s="5"/>
      <c r="D7" s="5"/>
      <c r="E7" s="2">
        <v>-863</v>
      </c>
      <c r="F7" s="5"/>
      <c r="I7" s="2">
        <v>-1174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M8" s="5" t="s">
        <v>116</v>
      </c>
      <c r="O8" s="4" t="s">
        <v>120</v>
      </c>
      <c r="P8" s="4" t="s">
        <v>121</v>
      </c>
      <c r="R8" s="4"/>
      <c r="S8" s="4"/>
      <c r="T8" s="4"/>
      <c r="U8" s="4"/>
      <c r="V8" s="4"/>
      <c r="W8" s="4"/>
      <c r="X8" s="4"/>
      <c r="Y8" s="4"/>
      <c r="Z8" s="4"/>
    </row>
    <row r="9" spans="1:31" x14ac:dyDescent="0.25">
      <c r="B9" s="5"/>
      <c r="C9" s="5"/>
      <c r="D9" s="8"/>
      <c r="F9" s="6"/>
      <c r="G9" s="5"/>
      <c r="H9" s="8"/>
      <c r="L9" s="2" t="s">
        <v>119</v>
      </c>
      <c r="M9" s="6" t="s">
        <v>51</v>
      </c>
      <c r="N9" s="10">
        <v>2.0099999999999998</v>
      </c>
      <c r="O9" s="2" t="s">
        <v>122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31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L10" s="2" t="s">
        <v>118</v>
      </c>
      <c r="M10" s="5" t="s">
        <v>51</v>
      </c>
      <c r="N10" s="10">
        <v>2.2400000000000002</v>
      </c>
      <c r="P10" s="4" t="s">
        <v>123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31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J11" s="2">
        <f>I11*0.93</f>
        <v>13808.640000000001</v>
      </c>
      <c r="L11" s="11" t="s">
        <v>117</v>
      </c>
      <c r="M11" s="5" t="s">
        <v>51</v>
      </c>
      <c r="N11" s="10">
        <v>2.11</v>
      </c>
      <c r="O11" s="2" t="s">
        <v>124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31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N12" s="3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</row>
    <row r="13" spans="1:31" x14ac:dyDescent="0.25">
      <c r="A13" s="2" t="s">
        <v>108</v>
      </c>
      <c r="B13" s="6"/>
      <c r="C13" s="5"/>
      <c r="F13" s="6"/>
      <c r="G13" s="5"/>
      <c r="J13" s="5">
        <f>J20+J16</f>
        <v>23263.86</v>
      </c>
      <c r="K13" s="5">
        <f t="shared" ref="K13:M13" si="6">K20+K16</f>
        <v>25749.987599999997</v>
      </c>
      <c r="L13" s="5">
        <f t="shared" si="6"/>
        <v>28537.924295999994</v>
      </c>
      <c r="M13" s="5">
        <f t="shared" si="6"/>
        <v>31667.148435359992</v>
      </c>
      <c r="P13" s="4"/>
      <c r="Q13" s="4"/>
      <c r="S13" s="2">
        <f t="shared" ref="S13:T13" si="7">S16+S20</f>
        <v>55523</v>
      </c>
      <c r="T13" s="2">
        <f t="shared" si="7"/>
        <v>64598</v>
      </c>
      <c r="U13" s="2">
        <f>U16+U20</f>
        <v>79376</v>
      </c>
      <c r="V13" s="2">
        <f>V16+V20</f>
        <v>109218.92033135999</v>
      </c>
    </row>
    <row r="14" spans="1:31" x14ac:dyDescent="0.25">
      <c r="B14" s="5"/>
      <c r="C14" s="3"/>
      <c r="D14" s="3"/>
      <c r="E14" s="3"/>
      <c r="G14" s="3"/>
      <c r="H14" s="3"/>
      <c r="I14" s="3"/>
      <c r="J14" s="5"/>
      <c r="K14" s="5"/>
      <c r="L14" s="5"/>
      <c r="M14" s="5"/>
      <c r="O14" s="8"/>
      <c r="P14" s="3"/>
      <c r="Q14" s="3"/>
      <c r="R14" s="3"/>
      <c r="S14" s="3"/>
      <c r="T14" s="3"/>
      <c r="U14" s="3"/>
      <c r="V14" s="4"/>
      <c r="W14" s="4"/>
      <c r="X14" s="4"/>
      <c r="Y14" s="4"/>
      <c r="Z14" s="4"/>
    </row>
    <row r="15" spans="1:31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I15*0.93</f>
        <v>50251.62</v>
      </c>
      <c r="K15" s="2">
        <f>J15*1.06</f>
        <v>53266.717200000006</v>
      </c>
      <c r="L15" s="2">
        <f t="shared" ref="L15:M15" si="8">K15*1.06</f>
        <v>56462.720232000007</v>
      </c>
      <c r="M15" s="2">
        <f t="shared" si="8"/>
        <v>59850.483445920014</v>
      </c>
      <c r="P15" s="2">
        <v>161857</v>
      </c>
      <c r="Q15" s="2">
        <v>182527</v>
      </c>
      <c r="R15" s="2">
        <v>257637</v>
      </c>
      <c r="S15" s="2">
        <v>162450</v>
      </c>
      <c r="T15" s="2">
        <v>175033</v>
      </c>
      <c r="U15" s="2">
        <v>198084</v>
      </c>
      <c r="V15" s="2">
        <f>SUM(J15:M15)</f>
        <v>219831.54087792002</v>
      </c>
      <c r="W15" s="2">
        <f>V15*1.09</f>
        <v>239616.37955693284</v>
      </c>
      <c r="X15" s="2">
        <f t="shared" ref="X15:Z15" si="9">W15*1.09</f>
        <v>261181.8537170568</v>
      </c>
      <c r="Y15" s="2">
        <f t="shared" si="9"/>
        <v>284688.22055159195</v>
      </c>
      <c r="Z15" s="2">
        <f t="shared" si="9"/>
        <v>310310.16040123522</v>
      </c>
    </row>
    <row r="16" spans="1:31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J16*1.06</f>
        <v>10213.2696</v>
      </c>
      <c r="L16" s="2">
        <f t="shared" ref="L16:M16" si="10">K16*1.06</f>
        <v>10826.065775999999</v>
      </c>
      <c r="M16" s="2">
        <f t="shared" si="10"/>
        <v>11475.629722559999</v>
      </c>
      <c r="N16" s="3"/>
      <c r="O16" s="3"/>
      <c r="Q16" s="4"/>
      <c r="R16" s="4"/>
      <c r="S16" s="2">
        <v>29243</v>
      </c>
      <c r="T16" s="2">
        <v>31510</v>
      </c>
      <c r="U16" s="2">
        <v>36147</v>
      </c>
      <c r="V16" s="2">
        <f>SUM(J16:M16)</f>
        <v>42150.125098559998</v>
      </c>
      <c r="W16" s="2">
        <f>V16*1.11</f>
        <v>46786.638859401603</v>
      </c>
      <c r="X16" s="2">
        <f t="shared" ref="X16:Z16" si="11">W16*1.11</f>
        <v>51933.169133935786</v>
      </c>
      <c r="Y16" s="2">
        <f t="shared" si="11"/>
        <v>57645.817738668724</v>
      </c>
      <c r="Z16" s="2">
        <f t="shared" si="11"/>
        <v>63986.85768992229</v>
      </c>
    </row>
    <row r="17" spans="1:26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>I17*0.92</f>
        <v>7317.68</v>
      </c>
      <c r="K17" s="2">
        <f>J17*1.02</f>
        <v>7464.0336000000007</v>
      </c>
      <c r="L17" s="2">
        <f t="shared" ref="L17:M17" si="12">K17*1.02</f>
        <v>7613.3142720000005</v>
      </c>
      <c r="M17" s="2">
        <f t="shared" si="12"/>
        <v>7765.580557440001</v>
      </c>
      <c r="N17" s="3"/>
      <c r="O17" s="3"/>
      <c r="Q17" s="4"/>
      <c r="R17" s="4"/>
      <c r="S17" s="2">
        <v>32780</v>
      </c>
      <c r="T17" s="2">
        <v>31312</v>
      </c>
      <c r="U17" s="2">
        <v>30359</v>
      </c>
      <c r="V17" s="2">
        <f>SUM(J17:M17)</f>
        <v>30160.608429440003</v>
      </c>
      <c r="W17" s="2">
        <f>V17*1.03</f>
        <v>31065.426682323203</v>
      </c>
      <c r="X17" s="2">
        <f t="shared" ref="X17:Z17" si="13">W17*1.03</f>
        <v>31997.3894827929</v>
      </c>
      <c r="Y17" s="2">
        <f t="shared" si="13"/>
        <v>32957.31116727669</v>
      </c>
      <c r="Z17" s="2">
        <f t="shared" si="13"/>
        <v>33946.030502294991</v>
      </c>
    </row>
    <row r="18" spans="1:26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>J18*1.03</f>
        <v>11023.4308</v>
      </c>
      <c r="L18" s="2">
        <f t="shared" ref="L18:M18" si="14">K18*1.03</f>
        <v>11354.133724000001</v>
      </c>
      <c r="M18" s="2">
        <f t="shared" si="14"/>
        <v>11694.757735720001</v>
      </c>
      <c r="Q18" s="4"/>
      <c r="R18" s="4"/>
      <c r="S18" s="2">
        <v>29055</v>
      </c>
      <c r="T18" s="2">
        <v>34688</v>
      </c>
      <c r="U18" s="2">
        <v>40340</v>
      </c>
      <c r="V18" s="2">
        <f>SUM(J18:M18)</f>
        <v>44774.682259720001</v>
      </c>
      <c r="W18" s="2">
        <f>V18*1.1</f>
        <v>49252.150485692007</v>
      </c>
      <c r="X18" s="2">
        <f t="shared" ref="X18:Z18" si="15">W18*1.1</f>
        <v>54177.365534261211</v>
      </c>
      <c r="Y18" s="2">
        <f t="shared" si="15"/>
        <v>59595.102087687337</v>
      </c>
      <c r="Z18" s="2">
        <f t="shared" si="15"/>
        <v>65554.612296456078</v>
      </c>
    </row>
    <row r="19" spans="1:26" x14ac:dyDescent="0.25">
      <c r="A19" s="2" t="s">
        <v>104</v>
      </c>
      <c r="B19" s="2">
        <f>SUM(B15:B18)</f>
        <v>61961</v>
      </c>
      <c r="C19" s="2">
        <f t="shared" ref="C19:P19" si="16">SUM(C15:C18)</f>
        <v>66285</v>
      </c>
      <c r="D19" s="2">
        <f t="shared" si="16"/>
        <v>67986</v>
      </c>
      <c r="E19" s="2">
        <f t="shared" si="16"/>
        <v>76311</v>
      </c>
      <c r="F19" s="2">
        <f t="shared" si="16"/>
        <v>70398</v>
      </c>
      <c r="G19" s="2">
        <f t="shared" si="16"/>
        <v>73928</v>
      </c>
      <c r="H19" s="2">
        <f t="shared" si="16"/>
        <v>76510</v>
      </c>
      <c r="I19" s="2">
        <f t="shared" si="16"/>
        <v>84094</v>
      </c>
      <c r="J19" s="2">
        <f t="shared" si="16"/>
        <v>77906.819999999992</v>
      </c>
      <c r="K19" s="2">
        <f t="shared" si="16"/>
        <v>81967.45120000001</v>
      </c>
      <c r="L19" s="2">
        <f t="shared" si="16"/>
        <v>86256.234004000013</v>
      </c>
      <c r="M19" s="2">
        <f t="shared" si="16"/>
        <v>90786.451461640027</v>
      </c>
      <c r="P19" s="2">
        <f t="shared" si="16"/>
        <v>161857</v>
      </c>
      <c r="Q19" s="2">
        <f t="shared" ref="Q19" si="17">SUM(Q15:Q18)</f>
        <v>182527</v>
      </c>
      <c r="R19" s="2">
        <f t="shared" ref="R19" si="18">SUM(R15:R18)</f>
        <v>257637</v>
      </c>
      <c r="S19" s="2">
        <f t="shared" ref="S19" si="19">SUM(S15:S18)</f>
        <v>253528</v>
      </c>
      <c r="T19" s="2">
        <f t="shared" ref="T19" si="20">SUM(T15:T18)</f>
        <v>272543</v>
      </c>
      <c r="U19" s="2">
        <f t="shared" ref="U19" si="21">SUM(U15:U18)</f>
        <v>304930</v>
      </c>
      <c r="V19" s="2">
        <f t="shared" ref="V19" si="22">SUM(V15:V18)</f>
        <v>336916.95666564</v>
      </c>
      <c r="W19" s="2">
        <f t="shared" ref="W19" si="23">SUM(W15:W18)</f>
        <v>366720.59558434965</v>
      </c>
      <c r="X19" s="2">
        <f t="shared" ref="X19" si="24">SUM(X15:X18)</f>
        <v>399289.77786804666</v>
      </c>
      <c r="Y19" s="2">
        <f t="shared" ref="Y19" si="25">SUM(Y15:Y18)</f>
        <v>434886.4515452247</v>
      </c>
      <c r="Z19" s="2">
        <f t="shared" ref="Z19" si="26">SUM(Z15:Z18)</f>
        <v>473797.66088990855</v>
      </c>
    </row>
    <row r="20" spans="1:26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I20*1.14</f>
        <v>13628.699999999999</v>
      </c>
      <c r="K20" s="2">
        <f t="shared" ref="K20:M20" si="27">J20*1.14</f>
        <v>15536.717999999997</v>
      </c>
      <c r="L20" s="2">
        <f t="shared" si="27"/>
        <v>17711.858519999994</v>
      </c>
      <c r="M20" s="2">
        <f t="shared" si="27"/>
        <v>20191.518712799992</v>
      </c>
      <c r="N20" s="8"/>
      <c r="O20" s="3"/>
      <c r="Q20" s="4"/>
      <c r="R20" s="4"/>
      <c r="S20" s="2">
        <v>26280</v>
      </c>
      <c r="T20" s="2">
        <v>33088</v>
      </c>
      <c r="U20" s="2">
        <v>43229</v>
      </c>
      <c r="V20" s="2">
        <f>SUM(J20:M20)</f>
        <v>67068.795232799981</v>
      </c>
      <c r="W20" s="2">
        <f>V20*1.2</f>
        <v>80482.554279359974</v>
      </c>
      <c r="X20" s="2">
        <f t="shared" ref="X20:Z20" si="28">W20*1.2</f>
        <v>96579.065135231969</v>
      </c>
      <c r="Y20" s="2">
        <f t="shared" si="28"/>
        <v>115894.87816227836</v>
      </c>
      <c r="Z20" s="2">
        <f t="shared" si="28"/>
        <v>139073.85379473402</v>
      </c>
    </row>
    <row r="21" spans="1:26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29">K21*1.02</f>
        <v>406.38024000000001</v>
      </c>
      <c r="M21" s="2">
        <f t="shared" si="29"/>
        <v>414.50784480000004</v>
      </c>
      <c r="N21" s="3"/>
      <c r="Q21" s="4"/>
      <c r="R21" s="4"/>
      <c r="S21" s="2">
        <f>1068+1960</f>
        <v>3028</v>
      </c>
      <c r="T21" s="2">
        <f>1527+236</f>
        <v>1763</v>
      </c>
      <c r="U21" s="2">
        <f>1648+211</f>
        <v>1859</v>
      </c>
      <c r="V21" s="2">
        <f>SUM(J21:M21)</f>
        <v>1609.9000848000001</v>
      </c>
      <c r="W21" s="2">
        <f>V21*1.05</f>
        <v>1690.3950890400001</v>
      </c>
      <c r="X21" s="2">
        <f t="shared" ref="X21:Z21" si="30">W21*1.05</f>
        <v>1774.9148434920003</v>
      </c>
      <c r="Y21" s="2">
        <f t="shared" si="30"/>
        <v>1863.6605856666004</v>
      </c>
      <c r="Z21" s="2">
        <f t="shared" si="30"/>
        <v>1956.8436149499305</v>
      </c>
    </row>
    <row r="22" spans="1:26" s="5" customFormat="1" x14ac:dyDescent="0.25">
      <c r="A22" s="5" t="s">
        <v>7</v>
      </c>
      <c r="B22" s="5">
        <f>SUM(B19:B21)</f>
        <v>69787</v>
      </c>
      <c r="C22" s="5">
        <f t="shared" ref="C22:Z22" si="31">SUM(C19:C21)</f>
        <v>74604</v>
      </c>
      <c r="D22" s="5">
        <f t="shared" si="31"/>
        <v>76693</v>
      </c>
      <c r="E22" s="5">
        <f t="shared" si="31"/>
        <v>86310</v>
      </c>
      <c r="F22" s="5">
        <f t="shared" si="31"/>
        <v>80539</v>
      </c>
      <c r="G22" s="5">
        <f t="shared" si="31"/>
        <v>84742</v>
      </c>
      <c r="H22" s="5">
        <f t="shared" si="31"/>
        <v>88268</v>
      </c>
      <c r="I22" s="5">
        <f t="shared" si="31"/>
        <v>96469</v>
      </c>
      <c r="J22" s="5">
        <f>SUM(J19:J21)</f>
        <v>91926.12</v>
      </c>
      <c r="K22" s="5">
        <f t="shared" ref="K22:M22" si="32">SUM(K19:K21)</f>
        <v>97902.581200000001</v>
      </c>
      <c r="L22" s="5">
        <f t="shared" si="32"/>
        <v>104374.47276400001</v>
      </c>
      <c r="M22" s="5">
        <f t="shared" si="32"/>
        <v>111392.47801924002</v>
      </c>
      <c r="N22" s="5">
        <f>SUM(J22:M22)</f>
        <v>405595.65198324004</v>
      </c>
      <c r="P22" s="5">
        <f t="shared" si="31"/>
        <v>161857</v>
      </c>
      <c r="Q22" s="5">
        <f t="shared" si="31"/>
        <v>182527</v>
      </c>
      <c r="R22" s="5">
        <f t="shared" si="31"/>
        <v>257637</v>
      </c>
      <c r="S22" s="5">
        <f t="shared" si="31"/>
        <v>282836</v>
      </c>
      <c r="T22" s="5">
        <f t="shared" si="31"/>
        <v>307394</v>
      </c>
      <c r="U22" s="5">
        <f t="shared" si="31"/>
        <v>350018</v>
      </c>
      <c r="V22" s="5">
        <f>SUM(J22:M22)</f>
        <v>405595.65198324004</v>
      </c>
      <c r="W22" s="5">
        <f t="shared" si="31"/>
        <v>448893.54495274962</v>
      </c>
      <c r="X22" s="5">
        <f t="shared" si="31"/>
        <v>497643.75784677058</v>
      </c>
      <c r="Y22" s="5">
        <f t="shared" si="31"/>
        <v>552644.99029316974</v>
      </c>
      <c r="Z22" s="5">
        <f t="shared" si="31"/>
        <v>614828.35829959251</v>
      </c>
    </row>
    <row r="23" spans="1:26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38608.970399999998</v>
      </c>
      <c r="K23" s="2">
        <f t="shared" ref="K23:M23" si="33">K22*(1-K43)</f>
        <v>41119.084104000001</v>
      </c>
      <c r="L23" s="2">
        <f t="shared" si="33"/>
        <v>43837.278560880004</v>
      </c>
      <c r="M23" s="2">
        <f t="shared" si="33"/>
        <v>46784.840768080816</v>
      </c>
      <c r="P23" s="2">
        <v>71896</v>
      </c>
      <c r="Q23" s="2">
        <v>84732</v>
      </c>
      <c r="R23" s="2">
        <v>110939</v>
      </c>
      <c r="S23" s="2">
        <v>126203</v>
      </c>
      <c r="T23" s="2">
        <v>133332</v>
      </c>
      <c r="U23" s="2">
        <v>146302</v>
      </c>
      <c r="V23" s="2">
        <f>SUM(J23:M23)</f>
        <v>170350.17383296083</v>
      </c>
      <c r="W23" s="2">
        <f>W22*(1-W43)</f>
        <v>188535.28888015487</v>
      </c>
      <c r="X23" s="2">
        <f>X22*(1-X43)</f>
        <v>209010.37829564366</v>
      </c>
      <c r="Y23" s="2">
        <f>Y22*(1-Y43)</f>
        <v>232110.89592313132</v>
      </c>
      <c r="Z23" s="2">
        <f>Z22*(1-Z43)</f>
        <v>258227.91048582888</v>
      </c>
    </row>
    <row r="24" spans="1:26" x14ac:dyDescent="0.25">
      <c r="A24" s="2" t="s">
        <v>9</v>
      </c>
      <c r="B24" s="2">
        <f>B22-B23</f>
        <v>39175</v>
      </c>
      <c r="C24" s="2">
        <f t="shared" ref="C24:M24" si="34">C22-C23</f>
        <v>42688</v>
      </c>
      <c r="D24" s="2">
        <f t="shared" si="34"/>
        <v>43464</v>
      </c>
      <c r="E24" s="2">
        <f t="shared" si="34"/>
        <v>48735</v>
      </c>
      <c r="F24" s="2">
        <f t="shared" si="34"/>
        <v>46827</v>
      </c>
      <c r="G24" s="2">
        <f t="shared" si="34"/>
        <v>49235</v>
      </c>
      <c r="H24" s="2">
        <f t="shared" si="34"/>
        <v>51794</v>
      </c>
      <c r="I24" s="2">
        <f t="shared" si="34"/>
        <v>55856</v>
      </c>
      <c r="J24" s="2">
        <f t="shared" si="34"/>
        <v>53317.149599999997</v>
      </c>
      <c r="K24" s="2">
        <f t="shared" si="34"/>
        <v>56783.497095999999</v>
      </c>
      <c r="L24" s="2">
        <f t="shared" si="34"/>
        <v>60537.194203120001</v>
      </c>
      <c r="M24" s="2">
        <f t="shared" si="34"/>
        <v>64607.637251159205</v>
      </c>
      <c r="P24" s="2">
        <f>P22-P23</f>
        <v>89961</v>
      </c>
      <c r="Q24" s="2">
        <f>Q22-Q23</f>
        <v>97795</v>
      </c>
      <c r="R24" s="2">
        <f>R22-R23</f>
        <v>146698</v>
      </c>
      <c r="S24" s="2">
        <f t="shared" ref="S24:U24" si="35">S22-S23</f>
        <v>156633</v>
      </c>
      <c r="T24" s="2">
        <f t="shared" si="35"/>
        <v>174062</v>
      </c>
      <c r="U24" s="2">
        <f t="shared" si="35"/>
        <v>203716</v>
      </c>
      <c r="V24" s="2">
        <f>V22-V23</f>
        <v>235245.4781502792</v>
      </c>
      <c r="W24" s="2">
        <f>W22-W23</f>
        <v>260358.25607259476</v>
      </c>
      <c r="X24" s="2">
        <f>X22-X23</f>
        <v>288633.37955112691</v>
      </c>
      <c r="Y24" s="2">
        <f>Y22-Y23</f>
        <v>320534.09437003842</v>
      </c>
      <c r="Z24" s="2">
        <f>Z22-Z23</f>
        <v>356600.44781376363</v>
      </c>
    </row>
    <row r="25" spans="1:26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12498.346514631643</v>
      </c>
      <c r="K25" s="2">
        <f t="shared" ref="K25:M25" si="36">J25*(1+K39)</f>
        <v>13310.91081092579</v>
      </c>
      <c r="L25" s="2">
        <f t="shared" si="36"/>
        <v>14190.834203450064</v>
      </c>
      <c r="M25" s="2">
        <f t="shared" si="36"/>
        <v>15145.007636653767</v>
      </c>
      <c r="P25" s="2">
        <v>26018</v>
      </c>
      <c r="Q25" s="2">
        <v>27573</v>
      </c>
      <c r="R25" s="2">
        <v>31562</v>
      </c>
      <c r="S25" s="2">
        <v>39500</v>
      </c>
      <c r="T25" s="2">
        <v>45247</v>
      </c>
      <c r="U25" s="2">
        <v>49326</v>
      </c>
      <c r="V25" s="2">
        <f>U25*(1+V38)</f>
        <v>57158.235089981943</v>
      </c>
      <c r="W25" s="2">
        <f>V25*(1+W38)</f>
        <v>63259.955197559357</v>
      </c>
      <c r="X25" s="2">
        <f>W25*(1+X38)</f>
        <v>70130.039025278151</v>
      </c>
      <c r="Y25" s="2">
        <f>X25*(1+Y38)</f>
        <v>77881.042664094115</v>
      </c>
      <c r="Z25" s="2">
        <f>Y25*(1+Z38)</f>
        <v>86644.182874839884</v>
      </c>
    </row>
    <row r="26" spans="1:26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7016.2645156475137</v>
      </c>
      <c r="K26" s="2">
        <f t="shared" ref="K26:M26" si="37">J26*(1+K39)</f>
        <v>7472.4181382164224</v>
      </c>
      <c r="L26" s="2">
        <f t="shared" si="37"/>
        <v>7966.385501677556</v>
      </c>
      <c r="M26" s="2">
        <f t="shared" si="37"/>
        <v>8502.035012860757</v>
      </c>
      <c r="P26" s="2">
        <v>18464</v>
      </c>
      <c r="Q26" s="2">
        <v>17946</v>
      </c>
      <c r="R26" s="2">
        <v>22912</v>
      </c>
      <c r="S26" s="2">
        <v>26567</v>
      </c>
      <c r="T26" s="2">
        <v>27917</v>
      </c>
      <c r="U26" s="2">
        <v>27808</v>
      </c>
      <c r="V26" s="2">
        <f>U26*(1+V38/2)</f>
        <v>30015.748382011694</v>
      </c>
      <c r="W26" s="2">
        <f>V26*(1+W38/2)</f>
        <v>31617.859566499654</v>
      </c>
      <c r="X26" s="2">
        <f>W26*(1+X38/2)</f>
        <v>33334.722509229607</v>
      </c>
      <c r="Y26" s="2">
        <f>X26*(1+Y38/2)</f>
        <v>35176.854347876011</v>
      </c>
      <c r="Z26" s="2">
        <f>Y26*(1+Z38/2)</f>
        <v>37155.896334723584</v>
      </c>
    </row>
    <row r="27" spans="1:26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4197.5614819268367</v>
      </c>
      <c r="K27" s="2">
        <f t="shared" ref="K27:M27" si="38">J27*(1+K39)</f>
        <v>4470.4606680488032</v>
      </c>
      <c r="L27" s="2">
        <f t="shared" si="38"/>
        <v>4765.9823624731271</v>
      </c>
      <c r="M27" s="2">
        <f t="shared" si="38"/>
        <v>5086.4408843747979</v>
      </c>
      <c r="P27" s="2">
        <f>9551+1697</f>
        <v>11248</v>
      </c>
      <c r="Q27" s="2">
        <v>11052</v>
      </c>
      <c r="R27" s="2">
        <v>13510</v>
      </c>
      <c r="S27" s="2">
        <v>15724</v>
      </c>
      <c r="T27" s="2">
        <v>16425</v>
      </c>
      <c r="U27" s="2">
        <v>14188</v>
      </c>
      <c r="V27" s="2">
        <f>U27*(1+V38/3)</f>
        <v>14938.947785864544</v>
      </c>
      <c r="W27" s="2">
        <f>V27*(1+W38/3)</f>
        <v>15470.532184552152</v>
      </c>
      <c r="X27" s="2">
        <f>W27*(1+X38/3)</f>
        <v>16030.569745098275</v>
      </c>
      <c r="Y27" s="2">
        <f>X27*(1+Y38/3)</f>
        <v>16621.153590734728</v>
      </c>
      <c r="Z27" s="2">
        <f>Y27*(1+Z38/3)</f>
        <v>17244.55518885389</v>
      </c>
    </row>
    <row r="28" spans="1:26" x14ac:dyDescent="0.25">
      <c r="A28" s="2" t="s">
        <v>49</v>
      </c>
      <c r="B28" s="2">
        <f>SUM(B25:B27)</f>
        <v>21760</v>
      </c>
      <c r="C28" s="2">
        <f t="shared" ref="C28:K28" si="39">SUM(C25:C27)</f>
        <v>20850</v>
      </c>
      <c r="D28" s="2">
        <f t="shared" si="39"/>
        <v>22121</v>
      </c>
      <c r="E28" s="2">
        <f t="shared" si="39"/>
        <v>25038</v>
      </c>
      <c r="F28" s="2">
        <f t="shared" si="39"/>
        <v>21355</v>
      </c>
      <c r="G28" s="2">
        <f t="shared" si="39"/>
        <v>21810</v>
      </c>
      <c r="H28" s="2">
        <f t="shared" si="39"/>
        <v>23273</v>
      </c>
      <c r="I28" s="2">
        <f t="shared" si="39"/>
        <v>24884</v>
      </c>
      <c r="J28" s="2">
        <f t="shared" si="39"/>
        <v>23712.172512205994</v>
      </c>
      <c r="K28" s="2">
        <f t="shared" si="39"/>
        <v>25253.789617191014</v>
      </c>
      <c r="L28" s="2">
        <f t="shared" ref="L28:M28" si="40">SUM(L25:L27)</f>
        <v>26923.202067600745</v>
      </c>
      <c r="M28" s="2">
        <f t="shared" si="40"/>
        <v>28733.483533889321</v>
      </c>
      <c r="P28" s="2">
        <f t="shared" ref="P28:Z28" si="41">SUM(P25:P27)</f>
        <v>55730</v>
      </c>
      <c r="Q28" s="2">
        <f t="shared" si="41"/>
        <v>56571</v>
      </c>
      <c r="R28" s="2">
        <f t="shared" si="41"/>
        <v>67984</v>
      </c>
      <c r="S28" s="2">
        <f t="shared" si="41"/>
        <v>81791</v>
      </c>
      <c r="T28" s="2">
        <f t="shared" si="41"/>
        <v>89589</v>
      </c>
      <c r="U28" s="2">
        <f t="shared" si="41"/>
        <v>91322</v>
      </c>
      <c r="V28" s="2">
        <f t="shared" si="41"/>
        <v>102112.93125785817</v>
      </c>
      <c r="W28" s="2">
        <f t="shared" si="41"/>
        <v>110348.34694861116</v>
      </c>
      <c r="X28" s="2">
        <f t="shared" si="41"/>
        <v>119495.33127960603</v>
      </c>
      <c r="Y28" s="2">
        <f t="shared" si="41"/>
        <v>129679.05060270485</v>
      </c>
      <c r="Z28" s="2">
        <f t="shared" si="41"/>
        <v>141044.63439841737</v>
      </c>
    </row>
    <row r="29" spans="1:26" x14ac:dyDescent="0.25">
      <c r="A29" s="2" t="s">
        <v>48</v>
      </c>
      <c r="B29" s="2">
        <f>B24-B28</f>
        <v>17415</v>
      </c>
      <c r="C29" s="2">
        <f t="shared" ref="C29:K29" si="42">C24-C28</f>
        <v>21838</v>
      </c>
      <c r="D29" s="2">
        <f t="shared" si="42"/>
        <v>21343</v>
      </c>
      <c r="E29" s="2">
        <f t="shared" si="42"/>
        <v>23697</v>
      </c>
      <c r="F29" s="2">
        <f t="shared" si="42"/>
        <v>25472</v>
      </c>
      <c r="G29" s="2">
        <f t="shared" si="42"/>
        <v>27425</v>
      </c>
      <c r="H29" s="2">
        <f t="shared" si="42"/>
        <v>28521</v>
      </c>
      <c r="I29" s="2">
        <f t="shared" si="42"/>
        <v>30972</v>
      </c>
      <c r="J29" s="2">
        <f t="shared" si="42"/>
        <v>29604.977087794003</v>
      </c>
      <c r="K29" s="2">
        <f t="shared" si="42"/>
        <v>31529.707478808985</v>
      </c>
      <c r="L29" s="2">
        <f t="shared" ref="L29:M29" si="43">L24-L28</f>
        <v>33613.992135519256</v>
      </c>
      <c r="M29" s="2">
        <f t="shared" si="43"/>
        <v>35874.153717269888</v>
      </c>
      <c r="P29" s="2">
        <f t="shared" ref="P29:Z29" si="44">P24-P28</f>
        <v>34231</v>
      </c>
      <c r="Q29" s="2">
        <f t="shared" si="44"/>
        <v>41224</v>
      </c>
      <c r="R29" s="2">
        <f t="shared" si="44"/>
        <v>78714</v>
      </c>
      <c r="S29" s="2">
        <f t="shared" si="44"/>
        <v>74842</v>
      </c>
      <c r="T29" s="2">
        <f t="shared" si="44"/>
        <v>84473</v>
      </c>
      <c r="U29" s="2">
        <f t="shared" si="44"/>
        <v>112394</v>
      </c>
      <c r="V29" s="2">
        <f t="shared" si="44"/>
        <v>133132.54689242103</v>
      </c>
      <c r="W29" s="2">
        <f t="shared" si="44"/>
        <v>150009.90912398358</v>
      </c>
      <c r="X29" s="2">
        <f t="shared" si="44"/>
        <v>169138.04827152088</v>
      </c>
      <c r="Y29" s="2">
        <f t="shared" si="44"/>
        <v>190855.04376733355</v>
      </c>
      <c r="Z29" s="2">
        <f t="shared" si="44"/>
        <v>215555.81341534626</v>
      </c>
    </row>
    <row r="30" spans="1:26" x14ac:dyDescent="0.25">
      <c r="A30" s="2" t="s">
        <v>13</v>
      </c>
      <c r="J30" s="2">
        <f>I56*$AC$96/4</f>
        <v>1271.6099999999999</v>
      </c>
      <c r="V30" s="2">
        <f>U56*$AC$96</f>
        <v>5086.4399999999996</v>
      </c>
      <c r="W30" s="2">
        <f>V56*$AC$96</f>
        <v>11881.64276297166</v>
      </c>
      <c r="X30" s="2">
        <f>W56*$AC$96</f>
        <v>19828.109784677687</v>
      </c>
      <c r="Y30" s="2">
        <f>X56*$AC$96</f>
        <v>29091.188042208934</v>
      </c>
      <c r="Z30" s="2">
        <f>Y56*$AC$96</f>
        <v>39860.691113912704</v>
      </c>
    </row>
    <row r="31" spans="1:26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J31" s="2">
        <v>1000</v>
      </c>
      <c r="P31" s="2">
        <v>5394</v>
      </c>
      <c r="Q31" s="2">
        <v>6858</v>
      </c>
      <c r="T31" s="2">
        <f>SUM(B31:E31)</f>
        <v>1424</v>
      </c>
      <c r="U31" s="2">
        <f>SUM(F31:I31)</f>
        <v>7425</v>
      </c>
      <c r="V31" s="2">
        <v>1600</v>
      </c>
      <c r="W31" s="2">
        <f>V31*1.01</f>
        <v>1616</v>
      </c>
      <c r="X31" s="2">
        <f t="shared" ref="X31:Z31" si="45">W31*1.01</f>
        <v>1632.16</v>
      </c>
      <c r="Y31" s="2">
        <f t="shared" si="45"/>
        <v>1648.4816000000001</v>
      </c>
      <c r="Z31" s="2">
        <f t="shared" si="45"/>
        <v>1664.966416</v>
      </c>
    </row>
    <row r="32" spans="1:26" x14ac:dyDescent="0.25">
      <c r="A32" s="2" t="s">
        <v>16</v>
      </c>
      <c r="B32" s="2">
        <f>B29+SUM(B30:B31)</f>
        <v>18205</v>
      </c>
      <c r="C32" s="2">
        <f t="shared" ref="C32:K32" si="46">C29+SUM(C30:C31)</f>
        <v>21903</v>
      </c>
      <c r="D32" s="2">
        <f t="shared" si="46"/>
        <v>21197</v>
      </c>
      <c r="E32" s="2">
        <f t="shared" si="46"/>
        <v>24412</v>
      </c>
      <c r="F32" s="2">
        <f t="shared" si="46"/>
        <v>28315</v>
      </c>
      <c r="G32" s="2">
        <f t="shared" si="46"/>
        <v>27551</v>
      </c>
      <c r="H32" s="2">
        <f t="shared" si="46"/>
        <v>31706</v>
      </c>
      <c r="I32" s="2">
        <f t="shared" si="46"/>
        <v>32243</v>
      </c>
      <c r="J32" s="2">
        <f t="shared" si="46"/>
        <v>31876.587087794003</v>
      </c>
      <c r="K32" s="2">
        <f t="shared" si="46"/>
        <v>31529.707478808985</v>
      </c>
      <c r="L32" s="2">
        <f t="shared" ref="L32:M32" si="47">L29+SUM(L30:L31)</f>
        <v>33613.992135519256</v>
      </c>
      <c r="M32" s="2">
        <f t="shared" si="47"/>
        <v>35874.153717269888</v>
      </c>
      <c r="N32" s="3"/>
      <c r="O32" s="3"/>
      <c r="P32" s="2">
        <f t="shared" ref="P32:U32" si="48">SUM(P29:P31)</f>
        <v>39625</v>
      </c>
      <c r="Q32" s="2">
        <f t="shared" si="48"/>
        <v>48082</v>
      </c>
      <c r="R32" s="2">
        <f t="shared" si="48"/>
        <v>78714</v>
      </c>
      <c r="S32" s="2">
        <f t="shared" si="48"/>
        <v>74842</v>
      </c>
      <c r="T32" s="2">
        <f t="shared" si="48"/>
        <v>85897</v>
      </c>
      <c r="U32" s="2">
        <f t="shared" si="48"/>
        <v>119819</v>
      </c>
      <c r="V32" s="2">
        <f t="shared" ref="V32:Z32" si="49">SUM(V29:V31)</f>
        <v>139818.98689242103</v>
      </c>
      <c r="W32" s="2">
        <f t="shared" si="49"/>
        <v>163507.55188695525</v>
      </c>
      <c r="X32" s="2">
        <f t="shared" si="49"/>
        <v>190598.31805619856</v>
      </c>
      <c r="Y32" s="2">
        <f t="shared" si="49"/>
        <v>221594.71340954248</v>
      </c>
      <c r="Z32" s="2">
        <f t="shared" si="49"/>
        <v>257081.47094525897</v>
      </c>
    </row>
    <row r="33" spans="1:220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6056.5515466808611</v>
      </c>
      <c r="K33" s="2">
        <f>K32*K40</f>
        <v>5990.6444209737074</v>
      </c>
      <c r="L33" s="2">
        <f>L32*L40</f>
        <v>6386.6585057486591</v>
      </c>
      <c r="M33" s="2">
        <f>M32*M40</f>
        <v>6816.0892062812791</v>
      </c>
      <c r="P33" s="2">
        <v>5282</v>
      </c>
      <c r="Q33" s="2">
        <v>7813</v>
      </c>
      <c r="R33" s="2">
        <v>14701</v>
      </c>
      <c r="S33" s="2">
        <v>11356</v>
      </c>
      <c r="T33" s="2">
        <v>11922</v>
      </c>
      <c r="U33" s="2">
        <v>19697</v>
      </c>
      <c r="V33" s="2">
        <f>V32*V40</f>
        <v>26565.607509559995</v>
      </c>
      <c r="W33" s="2">
        <f>W32*W40</f>
        <v>31066.434858521498</v>
      </c>
      <c r="X33" s="2">
        <f>X32*X40</f>
        <v>36213.680430677727</v>
      </c>
      <c r="Y33" s="2">
        <f>Y32*Y40</f>
        <v>42102.995547813072</v>
      </c>
      <c r="Z33" s="2">
        <f>Z32*Z40</f>
        <v>48845.479479599206</v>
      </c>
    </row>
    <row r="34" spans="1:220" s="5" customFormat="1" x14ac:dyDescent="0.25">
      <c r="A34" s="5" t="s">
        <v>17</v>
      </c>
      <c r="B34" s="5">
        <f>B32-B33</f>
        <v>15051</v>
      </c>
      <c r="C34" s="5">
        <f t="shared" ref="C34:K34" si="50">C32-C33</f>
        <v>18368</v>
      </c>
      <c r="D34" s="5">
        <f t="shared" si="50"/>
        <v>19689</v>
      </c>
      <c r="E34" s="5">
        <f t="shared" si="50"/>
        <v>20687</v>
      </c>
      <c r="F34" s="5">
        <f t="shared" si="50"/>
        <v>23662</v>
      </c>
      <c r="G34" s="5">
        <f t="shared" si="50"/>
        <v>23619</v>
      </c>
      <c r="H34" s="5">
        <f t="shared" si="50"/>
        <v>26301</v>
      </c>
      <c r="I34" s="5">
        <f t="shared" si="50"/>
        <v>26536</v>
      </c>
      <c r="J34" s="5">
        <f t="shared" si="50"/>
        <v>25820.035541113142</v>
      </c>
      <c r="K34" s="5">
        <f t="shared" si="50"/>
        <v>25539.063057835279</v>
      </c>
      <c r="L34" s="5">
        <f t="shared" ref="L34:M34" si="51">L32-L33</f>
        <v>27227.333629770597</v>
      </c>
      <c r="M34" s="5">
        <f t="shared" si="51"/>
        <v>29058.06451098861</v>
      </c>
      <c r="P34" s="5">
        <f t="shared" ref="P34:U34" si="52">P32-P33</f>
        <v>34343</v>
      </c>
      <c r="Q34" s="5">
        <f t="shared" si="52"/>
        <v>40269</v>
      </c>
      <c r="R34" s="5">
        <f t="shared" si="52"/>
        <v>64013</v>
      </c>
      <c r="S34" s="5">
        <f t="shared" si="52"/>
        <v>63486</v>
      </c>
      <c r="T34" s="5">
        <f t="shared" si="52"/>
        <v>73975</v>
      </c>
      <c r="U34" s="5">
        <f t="shared" si="52"/>
        <v>100122</v>
      </c>
      <c r="V34" s="5">
        <f t="shared" ref="V34:Z34" si="53">V32-V33</f>
        <v>113253.37938286104</v>
      </c>
      <c r="W34" s="5">
        <f t="shared" si="53"/>
        <v>132441.11702843374</v>
      </c>
      <c r="X34" s="5">
        <f t="shared" si="53"/>
        <v>154384.63762552085</v>
      </c>
      <c r="Y34" s="5">
        <f t="shared" si="53"/>
        <v>179491.71786172941</v>
      </c>
      <c r="Z34" s="5">
        <f t="shared" si="53"/>
        <v>208235.99146565975</v>
      </c>
      <c r="AA34" s="5">
        <f t="shared" ref="AA34:BF34" si="54">Z34*(1+$AC$97)</f>
        <v>210318.35138031637</v>
      </c>
      <c r="AB34" s="5">
        <f t="shared" si="54"/>
        <v>212421.53489411954</v>
      </c>
      <c r="AC34" s="5">
        <f t="shared" si="54"/>
        <v>214545.75024306073</v>
      </c>
      <c r="AD34" s="5">
        <f t="shared" si="54"/>
        <v>216691.20774549132</v>
      </c>
      <c r="AE34" s="5">
        <f t="shared" si="54"/>
        <v>218858.11982294623</v>
      </c>
      <c r="AF34" s="5">
        <f t="shared" si="54"/>
        <v>221046.70102117569</v>
      </c>
      <c r="AG34" s="5">
        <f t="shared" si="54"/>
        <v>223257.16803138744</v>
      </c>
      <c r="AH34" s="5">
        <f t="shared" si="54"/>
        <v>225489.73971170132</v>
      </c>
      <c r="AI34" s="5">
        <f t="shared" si="54"/>
        <v>227744.63710881834</v>
      </c>
      <c r="AJ34" s="5">
        <f t="shared" si="54"/>
        <v>230022.08347990652</v>
      </c>
      <c r="AK34" s="5">
        <f t="shared" si="54"/>
        <v>232322.3043147056</v>
      </c>
      <c r="AL34" s="5">
        <f t="shared" si="54"/>
        <v>234645.52735785267</v>
      </c>
      <c r="AM34" s="5">
        <f t="shared" si="54"/>
        <v>236991.98263143119</v>
      </c>
      <c r="AN34" s="5">
        <f t="shared" si="54"/>
        <v>239361.90245774551</v>
      </c>
      <c r="AO34" s="5">
        <f t="shared" si="54"/>
        <v>241755.52148232298</v>
      </c>
      <c r="AP34" s="5">
        <f t="shared" si="54"/>
        <v>244173.0766971462</v>
      </c>
      <c r="AQ34" s="5">
        <f t="shared" si="54"/>
        <v>246614.80746411765</v>
      </c>
      <c r="AR34" s="5">
        <f t="shared" si="54"/>
        <v>249080.95553875883</v>
      </c>
      <c r="AS34" s="5">
        <f t="shared" si="54"/>
        <v>251571.76509414642</v>
      </c>
      <c r="AT34" s="5">
        <f t="shared" si="54"/>
        <v>254087.48274508788</v>
      </c>
      <c r="AU34" s="5">
        <f t="shared" si="54"/>
        <v>256628.35757253875</v>
      </c>
      <c r="AV34" s="5">
        <f t="shared" si="54"/>
        <v>259194.64114826414</v>
      </c>
      <c r="AW34" s="5">
        <f t="shared" si="54"/>
        <v>261786.58755974678</v>
      </c>
      <c r="AX34" s="5">
        <f t="shared" si="54"/>
        <v>264404.45343534427</v>
      </c>
      <c r="AY34" s="5">
        <f t="shared" si="54"/>
        <v>267048.4979696977</v>
      </c>
      <c r="AZ34" s="5">
        <f t="shared" si="54"/>
        <v>269718.98294939467</v>
      </c>
      <c r="BA34" s="5">
        <f t="shared" si="54"/>
        <v>272416.17277888861</v>
      </c>
      <c r="BB34" s="5">
        <f t="shared" si="54"/>
        <v>275140.33450667752</v>
      </c>
      <c r="BC34" s="5">
        <f t="shared" si="54"/>
        <v>277891.73785174428</v>
      </c>
      <c r="BD34" s="5">
        <f t="shared" si="54"/>
        <v>280670.65523026173</v>
      </c>
      <c r="BE34" s="5">
        <f t="shared" si="54"/>
        <v>283477.36178256437</v>
      </c>
      <c r="BF34" s="5">
        <f t="shared" si="54"/>
        <v>286312.13540039002</v>
      </c>
      <c r="BG34" s="5">
        <f t="shared" ref="BG34:CL34" si="55">BF34*(1+$AC$97)</f>
        <v>289175.25675439392</v>
      </c>
      <c r="BH34" s="5">
        <f t="shared" si="55"/>
        <v>292067.00932193786</v>
      </c>
      <c r="BI34" s="5">
        <f t="shared" si="55"/>
        <v>294987.67941515724</v>
      </c>
      <c r="BJ34" s="5">
        <f t="shared" si="55"/>
        <v>297937.55620930879</v>
      </c>
      <c r="BK34" s="5">
        <f t="shared" si="55"/>
        <v>300916.9317714019</v>
      </c>
      <c r="BL34" s="5">
        <f t="shared" si="55"/>
        <v>303926.10108911589</v>
      </c>
      <c r="BM34" s="5">
        <f t="shared" si="55"/>
        <v>306965.36210000707</v>
      </c>
      <c r="BN34" s="5">
        <f t="shared" si="55"/>
        <v>310035.01572100713</v>
      </c>
      <c r="BO34" s="5">
        <f t="shared" si="55"/>
        <v>313135.36587821721</v>
      </c>
      <c r="BP34" s="5">
        <f t="shared" si="55"/>
        <v>316266.71953699942</v>
      </c>
      <c r="BQ34" s="5">
        <f t="shared" si="55"/>
        <v>319429.38673236943</v>
      </c>
      <c r="BR34" s="5">
        <f t="shared" si="55"/>
        <v>322623.68059969315</v>
      </c>
      <c r="BS34" s="5">
        <f t="shared" si="55"/>
        <v>325849.91740569007</v>
      </c>
      <c r="BT34" s="5">
        <f t="shared" si="55"/>
        <v>329108.41657974699</v>
      </c>
      <c r="BU34" s="5">
        <f t="shared" si="55"/>
        <v>332399.50074554444</v>
      </c>
      <c r="BV34" s="5">
        <f t="shared" si="55"/>
        <v>335723.49575299991</v>
      </c>
      <c r="BW34" s="5">
        <f t="shared" si="55"/>
        <v>339080.7307105299</v>
      </c>
      <c r="BX34" s="5">
        <f t="shared" si="55"/>
        <v>342471.53801763518</v>
      </c>
      <c r="BY34" s="5">
        <f t="shared" si="55"/>
        <v>345896.25339781155</v>
      </c>
      <c r="BZ34" s="5">
        <f t="shared" si="55"/>
        <v>349355.21593178966</v>
      </c>
      <c r="CA34" s="5">
        <f t="shared" si="55"/>
        <v>352848.76809110754</v>
      </c>
      <c r="CB34" s="5">
        <f t="shared" si="55"/>
        <v>356377.25577201863</v>
      </c>
      <c r="CC34" s="5">
        <f t="shared" si="55"/>
        <v>359941.02832973882</v>
      </c>
      <c r="CD34" s="5">
        <f t="shared" si="55"/>
        <v>363540.43861303624</v>
      </c>
      <c r="CE34" s="5">
        <f t="shared" si="55"/>
        <v>367175.84299916663</v>
      </c>
      <c r="CF34" s="5">
        <f t="shared" si="55"/>
        <v>370847.6014291583</v>
      </c>
      <c r="CG34" s="5">
        <f t="shared" si="55"/>
        <v>374556.07744344987</v>
      </c>
      <c r="CH34" s="5">
        <f t="shared" si="55"/>
        <v>378301.63821788435</v>
      </c>
      <c r="CI34" s="5">
        <f t="shared" si="55"/>
        <v>382084.65460006322</v>
      </c>
      <c r="CJ34" s="5">
        <f t="shared" si="55"/>
        <v>385905.50114606385</v>
      </c>
      <c r="CK34" s="5">
        <f t="shared" si="55"/>
        <v>389764.55615752446</v>
      </c>
      <c r="CL34" s="5">
        <f t="shared" si="55"/>
        <v>393662.20171909971</v>
      </c>
      <c r="CM34" s="5">
        <f t="shared" ref="CM34:DR34" si="56">CL34*(1+$AC$97)</f>
        <v>397598.82373629074</v>
      </c>
      <c r="CN34" s="5">
        <f t="shared" si="56"/>
        <v>401574.81197365368</v>
      </c>
      <c r="CO34" s="5">
        <f t="shared" si="56"/>
        <v>405590.56009339023</v>
      </c>
      <c r="CP34" s="5">
        <f t="shared" si="56"/>
        <v>409646.46569432411</v>
      </c>
      <c r="CQ34" s="5">
        <f t="shared" si="56"/>
        <v>413742.93035126734</v>
      </c>
      <c r="CR34" s="5">
        <f t="shared" si="56"/>
        <v>417880.35965478001</v>
      </c>
      <c r="CS34" s="5">
        <f t="shared" si="56"/>
        <v>422059.16325132782</v>
      </c>
      <c r="CT34" s="5">
        <f t="shared" si="56"/>
        <v>426279.75488384109</v>
      </c>
      <c r="CU34" s="5">
        <f t="shared" si="56"/>
        <v>430542.55243267951</v>
      </c>
      <c r="CV34" s="5">
        <f t="shared" si="56"/>
        <v>434847.97795700631</v>
      </c>
      <c r="CW34" s="5">
        <f t="shared" si="56"/>
        <v>439196.45773657638</v>
      </c>
      <c r="CX34" s="5">
        <f t="shared" si="56"/>
        <v>443588.42231394217</v>
      </c>
      <c r="CY34" s="5">
        <f t="shared" si="56"/>
        <v>448024.3065370816</v>
      </c>
      <c r="CZ34" s="5">
        <f t="shared" si="56"/>
        <v>452504.54960245243</v>
      </c>
      <c r="DA34" s="5">
        <f t="shared" si="56"/>
        <v>457029.59509847697</v>
      </c>
      <c r="DB34" s="5">
        <f t="shared" si="56"/>
        <v>461599.89104946173</v>
      </c>
      <c r="DC34" s="5">
        <f t="shared" si="56"/>
        <v>466215.88995995634</v>
      </c>
      <c r="DD34" s="5">
        <f t="shared" si="56"/>
        <v>470878.04885955591</v>
      </c>
      <c r="DE34" s="5">
        <f t="shared" si="56"/>
        <v>475586.82934815146</v>
      </c>
      <c r="DF34" s="5">
        <f t="shared" si="56"/>
        <v>480342.69764163299</v>
      </c>
      <c r="DG34" s="5">
        <f t="shared" si="56"/>
        <v>485146.1246180493</v>
      </c>
      <c r="DH34" s="5">
        <f t="shared" si="56"/>
        <v>489997.58586422983</v>
      </c>
      <c r="DI34" s="5">
        <f t="shared" si="56"/>
        <v>494897.56172287214</v>
      </c>
      <c r="DJ34" s="5">
        <f t="shared" si="56"/>
        <v>499846.53734010085</v>
      </c>
      <c r="DK34" s="5">
        <f t="shared" si="56"/>
        <v>504845.00271350186</v>
      </c>
      <c r="DL34" s="5">
        <f t="shared" si="56"/>
        <v>509893.45274063689</v>
      </c>
      <c r="DM34" s="5">
        <f t="shared" si="56"/>
        <v>514992.38726804324</v>
      </c>
      <c r="DN34" s="5">
        <f t="shared" si="56"/>
        <v>520142.3111407237</v>
      </c>
      <c r="DO34" s="5">
        <f t="shared" si="56"/>
        <v>525343.73425213096</v>
      </c>
      <c r="DP34" s="5">
        <f t="shared" si="56"/>
        <v>530597.17159465223</v>
      </c>
      <c r="DQ34" s="5">
        <f t="shared" si="56"/>
        <v>535903.1433105988</v>
      </c>
      <c r="DR34" s="5">
        <f t="shared" si="56"/>
        <v>541262.17474370485</v>
      </c>
      <c r="DS34" s="5">
        <f t="shared" ref="DS34:EX34" si="57">DR34*(1+$AC$97)</f>
        <v>546674.7964911419</v>
      </c>
      <c r="DT34" s="5">
        <f t="shared" si="57"/>
        <v>552141.54445605329</v>
      </c>
      <c r="DU34" s="5">
        <f t="shared" si="57"/>
        <v>557662.95990061387</v>
      </c>
      <c r="DV34" s="5">
        <f t="shared" si="57"/>
        <v>563239.58949962002</v>
      </c>
      <c r="DW34" s="5">
        <f t="shared" si="57"/>
        <v>568871.98539461626</v>
      </c>
      <c r="DX34" s="5">
        <f t="shared" si="57"/>
        <v>574560.70524856239</v>
      </c>
      <c r="DY34" s="5">
        <f t="shared" si="57"/>
        <v>580306.31230104796</v>
      </c>
      <c r="DZ34" s="5">
        <f t="shared" si="57"/>
        <v>586109.37542405841</v>
      </c>
      <c r="EA34" s="5">
        <f t="shared" si="57"/>
        <v>591970.46917829895</v>
      </c>
      <c r="EB34" s="5">
        <f t="shared" si="57"/>
        <v>597890.1738700819</v>
      </c>
      <c r="EC34" s="5">
        <f t="shared" si="57"/>
        <v>603869.0756087827</v>
      </c>
      <c r="ED34" s="5">
        <f t="shared" si="57"/>
        <v>609907.76636487059</v>
      </c>
      <c r="EE34" s="5">
        <f t="shared" si="57"/>
        <v>616006.84402851935</v>
      </c>
      <c r="EF34" s="5">
        <f t="shared" si="57"/>
        <v>622166.91246880451</v>
      </c>
      <c r="EG34" s="5">
        <f t="shared" si="57"/>
        <v>628388.58159349253</v>
      </c>
      <c r="EH34" s="5">
        <f t="shared" si="57"/>
        <v>634672.46740942751</v>
      </c>
      <c r="EI34" s="5">
        <f t="shared" si="57"/>
        <v>641019.19208352175</v>
      </c>
      <c r="EJ34" s="5">
        <f t="shared" si="57"/>
        <v>647429.38400435692</v>
      </c>
      <c r="EK34" s="5">
        <f t="shared" si="57"/>
        <v>653903.67784440052</v>
      </c>
      <c r="EL34" s="5">
        <f t="shared" si="57"/>
        <v>660442.71462284448</v>
      </c>
      <c r="EM34" s="5">
        <f t="shared" si="57"/>
        <v>667047.14176907297</v>
      </c>
      <c r="EN34" s="5">
        <f t="shared" si="57"/>
        <v>673717.61318676372</v>
      </c>
      <c r="EO34" s="5">
        <f t="shared" si="57"/>
        <v>680454.7893186314</v>
      </c>
      <c r="EP34" s="5">
        <f t="shared" si="57"/>
        <v>687259.33721181774</v>
      </c>
      <c r="EQ34" s="5">
        <f t="shared" si="57"/>
        <v>694131.93058393593</v>
      </c>
      <c r="ER34" s="5">
        <f t="shared" si="57"/>
        <v>701073.2498897753</v>
      </c>
      <c r="ES34" s="5">
        <f t="shared" si="57"/>
        <v>708083.982388673</v>
      </c>
      <c r="ET34" s="5">
        <f t="shared" si="57"/>
        <v>715164.82221255975</v>
      </c>
      <c r="EU34" s="5">
        <f t="shared" si="57"/>
        <v>722316.47043468535</v>
      </c>
      <c r="EV34" s="5">
        <f t="shared" si="57"/>
        <v>729539.63513903227</v>
      </c>
      <c r="EW34" s="5">
        <f t="shared" si="57"/>
        <v>736835.03149042255</v>
      </c>
      <c r="EX34" s="5">
        <f t="shared" si="57"/>
        <v>744203.38180532679</v>
      </c>
      <c r="EY34" s="5">
        <f t="shared" ref="EY34:GD34" si="58">EX34*(1+$AC$97)</f>
        <v>751645.4156233801</v>
      </c>
      <c r="EZ34" s="5">
        <f t="shared" si="58"/>
        <v>759161.86977961392</v>
      </c>
      <c r="FA34" s="5">
        <f t="shared" si="58"/>
        <v>766753.48847741005</v>
      </c>
      <c r="FB34" s="5">
        <f t="shared" si="58"/>
        <v>774421.02336218418</v>
      </c>
      <c r="FC34" s="5">
        <f t="shared" si="58"/>
        <v>782165.23359580606</v>
      </c>
      <c r="FD34" s="5">
        <f t="shared" si="58"/>
        <v>789986.88593176415</v>
      </c>
      <c r="FE34" s="5">
        <f t="shared" si="58"/>
        <v>797886.75479108177</v>
      </c>
      <c r="FF34" s="5">
        <f t="shared" si="58"/>
        <v>805865.62233899254</v>
      </c>
      <c r="FG34" s="5">
        <f t="shared" si="58"/>
        <v>813924.27856238245</v>
      </c>
      <c r="FH34" s="5">
        <f t="shared" si="58"/>
        <v>822063.52134800632</v>
      </c>
      <c r="FI34" s="5">
        <f t="shared" si="58"/>
        <v>830284.15656148642</v>
      </c>
      <c r="FJ34" s="5">
        <f t="shared" si="58"/>
        <v>838586.99812710134</v>
      </c>
      <c r="FK34" s="5">
        <f t="shared" si="58"/>
        <v>846972.86810837232</v>
      </c>
      <c r="FL34" s="5">
        <f t="shared" si="58"/>
        <v>855442.59678945609</v>
      </c>
      <c r="FM34" s="5">
        <f t="shared" si="58"/>
        <v>863997.0227573507</v>
      </c>
      <c r="FN34" s="5">
        <f t="shared" si="58"/>
        <v>872636.99298492423</v>
      </c>
      <c r="FO34" s="5">
        <f t="shared" si="58"/>
        <v>881363.36291477352</v>
      </c>
      <c r="FP34" s="5">
        <f t="shared" si="58"/>
        <v>890176.9965439213</v>
      </c>
      <c r="FQ34" s="5">
        <f t="shared" si="58"/>
        <v>899078.76650936052</v>
      </c>
      <c r="FR34" s="5">
        <f t="shared" si="58"/>
        <v>908069.55417445418</v>
      </c>
      <c r="FS34" s="5">
        <f t="shared" si="58"/>
        <v>917150.24971619877</v>
      </c>
      <c r="FT34" s="5">
        <f t="shared" si="58"/>
        <v>926321.75221336074</v>
      </c>
      <c r="FU34" s="5">
        <f t="shared" si="58"/>
        <v>935584.96973549435</v>
      </c>
      <c r="FV34" s="5">
        <f t="shared" si="58"/>
        <v>944940.8194328493</v>
      </c>
      <c r="FW34" s="5">
        <f t="shared" si="58"/>
        <v>954390.22762717784</v>
      </c>
      <c r="FX34" s="5">
        <f t="shared" si="58"/>
        <v>963934.12990344968</v>
      </c>
      <c r="FY34" s="5">
        <f t="shared" si="58"/>
        <v>973573.47120248422</v>
      </c>
      <c r="FZ34" s="5">
        <f t="shared" si="58"/>
        <v>983309.20591450902</v>
      </c>
      <c r="GA34" s="5">
        <f t="shared" si="58"/>
        <v>993142.29797365412</v>
      </c>
      <c r="GB34" s="5">
        <f t="shared" si="58"/>
        <v>1003073.7209533907</v>
      </c>
      <c r="GC34" s="5">
        <f t="shared" si="58"/>
        <v>1013104.4581629246</v>
      </c>
      <c r="GD34" s="5">
        <f t="shared" si="58"/>
        <v>1023235.5027445538</v>
      </c>
      <c r="GE34" s="5">
        <f t="shared" ref="GE34:HL34" si="59">GD34*(1+$AC$97)</f>
        <v>1033467.8577719994</v>
      </c>
      <c r="GF34" s="5">
        <f t="shared" si="59"/>
        <v>1043802.5363497194</v>
      </c>
      <c r="GG34" s="5">
        <f t="shared" si="59"/>
        <v>1054240.5617132166</v>
      </c>
      <c r="GH34" s="5">
        <f t="shared" si="59"/>
        <v>1064782.9673303487</v>
      </c>
      <c r="GI34" s="5">
        <f t="shared" si="59"/>
        <v>1075430.7970036522</v>
      </c>
      <c r="GJ34" s="5">
        <f t="shared" si="59"/>
        <v>1086185.1049736887</v>
      </c>
      <c r="GK34" s="5">
        <f t="shared" si="59"/>
        <v>1097046.9560234256</v>
      </c>
      <c r="GL34" s="5">
        <f t="shared" si="59"/>
        <v>1108017.4255836599</v>
      </c>
      <c r="GM34" s="5">
        <f t="shared" si="59"/>
        <v>1119097.5998394964</v>
      </c>
      <c r="GN34" s="5">
        <f t="shared" si="59"/>
        <v>1130288.5758378913</v>
      </c>
      <c r="GO34" s="5">
        <f t="shared" si="59"/>
        <v>1141591.4615962703</v>
      </c>
      <c r="GP34" s="5">
        <f t="shared" si="59"/>
        <v>1153007.376212233</v>
      </c>
      <c r="GQ34" s="5">
        <f t="shared" si="59"/>
        <v>1164537.4499743553</v>
      </c>
      <c r="GR34" s="5">
        <f t="shared" si="59"/>
        <v>1176182.8244740989</v>
      </c>
      <c r="GS34" s="5">
        <f t="shared" si="59"/>
        <v>1187944.6527188399</v>
      </c>
      <c r="GT34" s="5">
        <f t="shared" si="59"/>
        <v>1199824.0992460283</v>
      </c>
      <c r="GU34" s="5">
        <f t="shared" si="59"/>
        <v>1211822.3402384887</v>
      </c>
      <c r="GV34" s="5">
        <f t="shared" si="59"/>
        <v>1223940.5636408736</v>
      </c>
      <c r="GW34" s="5">
        <f t="shared" si="59"/>
        <v>1236179.9692772825</v>
      </c>
      <c r="GX34" s="5">
        <f t="shared" si="59"/>
        <v>1248541.7689700553</v>
      </c>
      <c r="GY34" s="5">
        <f t="shared" si="59"/>
        <v>1261027.1866597559</v>
      </c>
      <c r="GZ34" s="5">
        <f t="shared" si="59"/>
        <v>1273637.4585263534</v>
      </c>
      <c r="HA34" s="5">
        <f t="shared" si="59"/>
        <v>1286373.8331116168</v>
      </c>
      <c r="HB34" s="5">
        <f t="shared" si="59"/>
        <v>1299237.5714427331</v>
      </c>
      <c r="HC34" s="5">
        <f t="shared" si="59"/>
        <v>1312229.9471571604</v>
      </c>
      <c r="HD34" s="5">
        <f t="shared" si="59"/>
        <v>1325352.246628732</v>
      </c>
      <c r="HE34" s="5">
        <f t="shared" si="59"/>
        <v>1338605.7690950192</v>
      </c>
      <c r="HF34" s="5">
        <f t="shared" si="59"/>
        <v>1351991.8267859693</v>
      </c>
      <c r="HG34" s="5">
        <f t="shared" si="59"/>
        <v>1365511.7450538289</v>
      </c>
      <c r="HH34" s="5">
        <f t="shared" si="59"/>
        <v>1379166.8625043673</v>
      </c>
      <c r="HI34" s="5">
        <f t="shared" si="59"/>
        <v>1392958.531129411</v>
      </c>
      <c r="HJ34" s="5">
        <f t="shared" si="59"/>
        <v>1406888.116440705</v>
      </c>
      <c r="HK34" s="5">
        <f t="shared" si="59"/>
        <v>1420956.9976051121</v>
      </c>
      <c r="HL34" s="5">
        <f t="shared" si="59"/>
        <v>1435166.5675811633</v>
      </c>
    </row>
    <row r="35" spans="1:220" s="5" customFormat="1" x14ac:dyDescent="0.25">
      <c r="A35" s="2" t="s">
        <v>51</v>
      </c>
      <c r="B35" s="8" t="e">
        <f>B34/B36</f>
        <v>#DIV/0!</v>
      </c>
      <c r="C35" s="8">
        <f t="shared" ref="C35:F35" si="60">C34/C36</f>
        <v>1.439047320589157</v>
      </c>
      <c r="D35" s="8" t="e">
        <f t="shared" si="60"/>
        <v>#DIV/0!</v>
      </c>
      <c r="E35" s="8" t="e">
        <f t="shared" si="60"/>
        <v>#DIV/0!</v>
      </c>
      <c r="F35" s="8" t="e">
        <f t="shared" si="60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1">J34/J36</f>
        <v>2.1077580033561749</v>
      </c>
      <c r="K35" s="8">
        <f t="shared" si="61"/>
        <v>2.0848214741090025</v>
      </c>
      <c r="L35" s="8">
        <f t="shared" si="61"/>
        <v>2.2226394799812734</v>
      </c>
      <c r="M35" s="8">
        <f t="shared" si="61"/>
        <v>2.3720868988562129</v>
      </c>
      <c r="N35" s="8"/>
      <c r="O35" s="8"/>
      <c r="P35" s="8"/>
      <c r="Q35" s="8"/>
      <c r="R35" s="8"/>
      <c r="S35" s="8"/>
      <c r="T35" s="3"/>
      <c r="U35" s="8">
        <f t="shared" ref="U35" si="62">U34/U36</f>
        <v>8.1732244897959188</v>
      </c>
      <c r="V35" s="8">
        <f t="shared" ref="V35" si="63">V34/V36</f>
        <v>9.06389590899248</v>
      </c>
      <c r="W35" s="8">
        <f t="shared" ref="W35" si="64">W34/W36</f>
        <v>10.391695268572821</v>
      </c>
      <c r="X35" s="8">
        <f t="shared" ref="X35" si="65">X34/X36</f>
        <v>11.875925889426961</v>
      </c>
      <c r="Y35" s="8">
        <f t="shared" ref="Y35" si="66">Y34/Y36</f>
        <v>13.536538984179616</v>
      </c>
      <c r="Z35" s="8">
        <f t="shared" ref="Z35" si="67">Z34/Z36</f>
        <v>15.396388015177751</v>
      </c>
    </row>
    <row r="36" spans="1:220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P36" s="2"/>
      <c r="U36" s="2">
        <v>12250</v>
      </c>
      <c r="V36" s="2">
        <f>U36*1.02</f>
        <v>12495</v>
      </c>
      <c r="W36" s="2">
        <f t="shared" ref="W36:Z36" si="68">V36*1.02</f>
        <v>12744.9</v>
      </c>
      <c r="X36" s="2">
        <f t="shared" si="68"/>
        <v>12999.798000000001</v>
      </c>
      <c r="Y36" s="2">
        <f t="shared" si="68"/>
        <v>13259.793960000001</v>
      </c>
      <c r="Z36" s="2">
        <f t="shared" si="68"/>
        <v>13524.989839200001</v>
      </c>
    </row>
    <row r="37" spans="1:220" s="5" customFormat="1" x14ac:dyDescent="0.25">
      <c r="P37" s="2"/>
      <c r="U37" s="2"/>
      <c r="V37" s="2"/>
      <c r="W37" s="2"/>
      <c r="X37" s="2"/>
      <c r="Y37" s="2"/>
      <c r="Z37" s="2"/>
    </row>
    <row r="38" spans="1:220" x14ac:dyDescent="0.25">
      <c r="A38" s="5" t="s">
        <v>43</v>
      </c>
      <c r="B38" s="5"/>
      <c r="C38" s="5"/>
      <c r="D38" s="5"/>
      <c r="E38" s="5"/>
      <c r="F38" s="6">
        <f t="shared" ref="F38:M38" si="69">F22/B22-1</f>
        <v>0.15406880937710454</v>
      </c>
      <c r="G38" s="6">
        <f t="shared" si="69"/>
        <v>0.13589083695244231</v>
      </c>
      <c r="H38" s="6">
        <f t="shared" si="69"/>
        <v>0.15092642092498654</v>
      </c>
      <c r="I38" s="6">
        <f t="shared" si="69"/>
        <v>0.11770362646275045</v>
      </c>
      <c r="J38" s="6">
        <f t="shared" si="69"/>
        <v>0.14138640906889832</v>
      </c>
      <c r="K38" s="6">
        <f t="shared" si="69"/>
        <v>0.15530175355785802</v>
      </c>
      <c r="L38" s="6">
        <f t="shared" si="69"/>
        <v>0.18247238822676404</v>
      </c>
      <c r="M38" s="6">
        <f t="shared" si="69"/>
        <v>0.15469713606692337</v>
      </c>
      <c r="N38" s="6"/>
      <c r="O38" s="6"/>
      <c r="P38" s="6"/>
      <c r="Q38" s="6">
        <f t="shared" ref="Q38:Z38" si="70">Q22/P22-1</f>
        <v>0.12770532012826141</v>
      </c>
      <c r="R38" s="6">
        <f t="shared" si="70"/>
        <v>0.41150076427049154</v>
      </c>
      <c r="S38" s="6">
        <f t="shared" si="70"/>
        <v>9.7808156437157789E-2</v>
      </c>
      <c r="T38" s="6">
        <f t="shared" si="70"/>
        <v>8.6827702272695095E-2</v>
      </c>
      <c r="U38" s="6">
        <f t="shared" si="70"/>
        <v>0.13866243322901561</v>
      </c>
      <c r="V38" s="6">
        <f t="shared" si="70"/>
        <v>0.15878512528852817</v>
      </c>
      <c r="W38" s="6">
        <f t="shared" si="70"/>
        <v>0.10675137358548104</v>
      </c>
      <c r="X38" s="6">
        <f t="shared" si="70"/>
        <v>0.10860083296397671</v>
      </c>
      <c r="Y38" s="6">
        <f t="shared" si="70"/>
        <v>0.11052330422947776</v>
      </c>
      <c r="Z38" s="6">
        <f t="shared" si="70"/>
        <v>0.11251955432263205</v>
      </c>
    </row>
    <row r="39" spans="1:220" s="5" customFormat="1" x14ac:dyDescent="0.25">
      <c r="A39" s="5" t="s">
        <v>44</v>
      </c>
      <c r="C39" s="6">
        <f t="shared" ref="C39:M39" si="71">C22/B22-1</f>
        <v>6.9024316849843004E-2</v>
      </c>
      <c r="D39" s="6">
        <f t="shared" si="71"/>
        <v>2.8001179561417677E-2</v>
      </c>
      <c r="E39" s="6">
        <f t="shared" si="71"/>
        <v>0.12539605961430644</v>
      </c>
      <c r="F39" s="6">
        <f t="shared" si="71"/>
        <v>-6.6863631097207721E-2</v>
      </c>
      <c r="G39" s="6">
        <f t="shared" si="71"/>
        <v>5.218589751548941E-2</v>
      </c>
      <c r="H39" s="6">
        <f t="shared" si="71"/>
        <v>4.1608647423945655E-2</v>
      </c>
      <c r="I39" s="6">
        <f t="shared" si="71"/>
        <v>9.2910227942176071E-2</v>
      </c>
      <c r="J39" s="6">
        <f t="shared" si="71"/>
        <v>-4.709160455690431E-2</v>
      </c>
      <c r="K39" s="6">
        <f t="shared" si="71"/>
        <v>6.5013743645440547E-2</v>
      </c>
      <c r="L39" s="6">
        <f t="shared" si="71"/>
        <v>6.6105423214316783E-2</v>
      </c>
      <c r="M39" s="6">
        <f t="shared" si="71"/>
        <v>6.7238713350038726E-2</v>
      </c>
      <c r="N39" s="6"/>
      <c r="O39" s="6"/>
      <c r="R39" s="6"/>
      <c r="S39" s="6"/>
      <c r="T39" s="6"/>
      <c r="U39" s="6"/>
      <c r="V39" s="6"/>
      <c r="W39" s="6"/>
      <c r="X39" s="6"/>
      <c r="Y39" s="6"/>
      <c r="Z39" s="6"/>
      <c r="AC39" s="6"/>
    </row>
    <row r="40" spans="1:220" x14ac:dyDescent="0.25">
      <c r="A40" s="2" t="s">
        <v>32</v>
      </c>
      <c r="B40" s="3">
        <f t="shared" ref="B40:I40" si="72">B33/B32</f>
        <v>0.17324910738808019</v>
      </c>
      <c r="C40" s="3">
        <f t="shared" si="72"/>
        <v>0.16139341642697347</v>
      </c>
      <c r="D40" s="3">
        <f t="shared" si="72"/>
        <v>7.1142142756050381E-2</v>
      </c>
      <c r="E40" s="3">
        <f t="shared" si="72"/>
        <v>0.15258889070948714</v>
      </c>
      <c r="F40" s="3">
        <f t="shared" si="72"/>
        <v>0.16432986049796927</v>
      </c>
      <c r="G40" s="3">
        <f t="shared" si="72"/>
        <v>0.14271714275343908</v>
      </c>
      <c r="H40" s="3">
        <f t="shared" si="72"/>
        <v>0.17047246577934777</v>
      </c>
      <c r="I40" s="3">
        <f t="shared" si="72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/>
      <c r="P40" s="3">
        <f t="shared" ref="P40:U40" si="73">P33/P32</f>
        <v>0.13329968454258675</v>
      </c>
      <c r="Q40" s="3">
        <f t="shared" si="73"/>
        <v>0.16249324071378063</v>
      </c>
      <c r="R40" s="3">
        <f t="shared" si="73"/>
        <v>0.18676474324770689</v>
      </c>
      <c r="S40" s="3">
        <f t="shared" si="73"/>
        <v>0.15173298415328293</v>
      </c>
      <c r="T40" s="3">
        <f t="shared" si="73"/>
        <v>0.13879413716427816</v>
      </c>
      <c r="U40" s="3">
        <f t="shared" si="73"/>
        <v>0.16438962101169263</v>
      </c>
      <c r="V40" s="3">
        <v>0.19</v>
      </c>
      <c r="W40" s="3">
        <v>0.19</v>
      </c>
      <c r="X40" s="3">
        <v>0.19</v>
      </c>
      <c r="Y40" s="3">
        <v>0.19</v>
      </c>
      <c r="Z40" s="3">
        <v>0.19</v>
      </c>
    </row>
    <row r="41" spans="1:22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20" x14ac:dyDescent="0.25">
      <c r="A42" s="2" t="s">
        <v>45</v>
      </c>
      <c r="B42" s="3">
        <f t="shared" ref="B42:M42" si="74">B34/B22</f>
        <v>0.21567054035851949</v>
      </c>
      <c r="C42" s="3">
        <f t="shared" si="74"/>
        <v>0.2462066377137955</v>
      </c>
      <c r="D42" s="3">
        <f t="shared" si="74"/>
        <v>0.25672486406842865</v>
      </c>
      <c r="E42" s="3">
        <f t="shared" si="74"/>
        <v>0.23968253968253969</v>
      </c>
      <c r="F42" s="3">
        <f t="shared" si="74"/>
        <v>0.29379555246526529</v>
      </c>
      <c r="G42" s="3">
        <f t="shared" si="74"/>
        <v>0.27871657501593072</v>
      </c>
      <c r="H42" s="3">
        <f t="shared" si="74"/>
        <v>0.29796755336022113</v>
      </c>
      <c r="I42" s="3">
        <f t="shared" si="74"/>
        <v>0.27507282132083882</v>
      </c>
      <c r="J42" s="3">
        <f t="shared" si="74"/>
        <v>0.28087811756999148</v>
      </c>
      <c r="K42" s="3">
        <f t="shared" si="74"/>
        <v>0.26086199919145009</v>
      </c>
      <c r="L42" s="3">
        <f t="shared" si="74"/>
        <v>0.26086199919145009</v>
      </c>
      <c r="M42" s="3">
        <f t="shared" si="74"/>
        <v>0.26086199919145009</v>
      </c>
      <c r="N42" s="3"/>
      <c r="O42" s="3"/>
      <c r="P42" s="3">
        <f t="shared" ref="P42:Z42" si="75">P34/P22</f>
        <v>0.21218112284300339</v>
      </c>
      <c r="Q42" s="3">
        <f t="shared" si="75"/>
        <v>0.22061941520980458</v>
      </c>
      <c r="R42" s="3">
        <f t="shared" si="75"/>
        <v>0.24846198333313926</v>
      </c>
      <c r="S42" s="3">
        <f t="shared" si="75"/>
        <v>0.2244622325305124</v>
      </c>
      <c r="T42" s="3">
        <f t="shared" si="75"/>
        <v>0.24065206217427795</v>
      </c>
      <c r="U42" s="3">
        <f t="shared" si="75"/>
        <v>0.28604814609534368</v>
      </c>
      <c r="V42" s="3">
        <f t="shared" si="75"/>
        <v>0.27922730144932834</v>
      </c>
      <c r="W42" s="3">
        <f t="shared" si="75"/>
        <v>0.29503903212146759</v>
      </c>
      <c r="X42" s="3">
        <f t="shared" si="75"/>
        <v>0.31023123507771877</v>
      </c>
      <c r="Y42" s="3">
        <f t="shared" si="75"/>
        <v>0.32478665511201288</v>
      </c>
      <c r="Z42" s="3">
        <f t="shared" si="75"/>
        <v>0.33868963370780447</v>
      </c>
    </row>
    <row r="43" spans="1:220" x14ac:dyDescent="0.25">
      <c r="A43" s="5" t="s">
        <v>18</v>
      </c>
      <c r="B43" s="6">
        <f t="shared" ref="B43:I43" si="76">B24/B22</f>
        <v>0.56135096794531936</v>
      </c>
      <c r="C43" s="6">
        <f t="shared" si="76"/>
        <v>0.5721945204010509</v>
      </c>
      <c r="D43" s="6">
        <f t="shared" si="76"/>
        <v>0.56672708069836886</v>
      </c>
      <c r="E43" s="6">
        <f t="shared" si="76"/>
        <v>0.56465067778936395</v>
      </c>
      <c r="F43" s="6">
        <f t="shared" si="76"/>
        <v>0.58142018152696207</v>
      </c>
      <c r="G43" s="6">
        <f t="shared" si="76"/>
        <v>0.58099879634655782</v>
      </c>
      <c r="H43" s="6">
        <f t="shared" si="76"/>
        <v>0.58678116644763678</v>
      </c>
      <c r="I43" s="6">
        <f t="shared" si="76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/>
      <c r="P43" s="6">
        <f t="shared" ref="P43:U43" si="77">P24/P22</f>
        <v>0.5558054331910266</v>
      </c>
      <c r="Q43" s="6">
        <f t="shared" si="77"/>
        <v>0.53578374706207854</v>
      </c>
      <c r="R43" s="6">
        <f t="shared" si="77"/>
        <v>0.5693980290098084</v>
      </c>
      <c r="S43" s="6">
        <f t="shared" si="77"/>
        <v>0.55379442503783116</v>
      </c>
      <c r="T43" s="6">
        <f t="shared" si="77"/>
        <v>0.56625047984020505</v>
      </c>
      <c r="U43" s="6">
        <f t="shared" si="77"/>
        <v>0.58201578204549476</v>
      </c>
      <c r="V43" s="6">
        <v>0.57999999999999996</v>
      </c>
      <c r="W43" s="6">
        <v>0.57999999999999996</v>
      </c>
      <c r="X43" s="6">
        <v>0.57999999999999996</v>
      </c>
      <c r="Y43" s="6">
        <v>0.57999999999999996</v>
      </c>
      <c r="Z43" s="6">
        <v>0.57999999999999996</v>
      </c>
    </row>
    <row r="44" spans="1:220" x14ac:dyDescent="0.25">
      <c r="A44" s="2" t="s">
        <v>19</v>
      </c>
      <c r="B44" s="3">
        <f t="shared" ref="B44:M44" si="78">B29/B22</f>
        <v>0.24954504420594092</v>
      </c>
      <c r="C44" s="3">
        <f t="shared" si="78"/>
        <v>0.29271888906761029</v>
      </c>
      <c r="D44" s="3">
        <f t="shared" si="78"/>
        <v>0.27829136948613303</v>
      </c>
      <c r="E44" s="3">
        <f t="shared" si="78"/>
        <v>0.27455683003128256</v>
      </c>
      <c r="F44" s="3">
        <f t="shared" si="78"/>
        <v>0.31626913669154072</v>
      </c>
      <c r="G44" s="3">
        <f t="shared" si="78"/>
        <v>0.32362936914398999</v>
      </c>
      <c r="H44" s="3">
        <f t="shared" si="78"/>
        <v>0.32311823084243441</v>
      </c>
      <c r="I44" s="3">
        <f t="shared" si="78"/>
        <v>0.32105650519856122</v>
      </c>
      <c r="J44" s="3">
        <f t="shared" si="78"/>
        <v>0.32205185085364207</v>
      </c>
      <c r="K44" s="3">
        <f t="shared" si="78"/>
        <v>0.32205185085364207</v>
      </c>
      <c r="L44" s="3">
        <f t="shared" si="78"/>
        <v>0.32205185085364207</v>
      </c>
      <c r="M44" s="3">
        <f t="shared" si="78"/>
        <v>0.32205185085364207</v>
      </c>
      <c r="N44" s="3"/>
      <c r="O44" s="3"/>
      <c r="P44" s="3">
        <f t="shared" ref="P44:Z44" si="79">P29/P22</f>
        <v>0.21148915400631421</v>
      </c>
      <c r="Q44" s="3">
        <f t="shared" si="79"/>
        <v>0.22585151785763202</v>
      </c>
      <c r="R44" s="3">
        <f t="shared" si="79"/>
        <v>0.3055228868524319</v>
      </c>
      <c r="S44" s="3">
        <f t="shared" si="79"/>
        <v>0.26461270842467011</v>
      </c>
      <c r="T44" s="3">
        <f t="shared" si="79"/>
        <v>0.27480367216015927</v>
      </c>
      <c r="U44" s="3">
        <f t="shared" si="79"/>
        <v>0.32110920009828064</v>
      </c>
      <c r="V44" s="3">
        <f t="shared" si="79"/>
        <v>0.32823958107401585</v>
      </c>
      <c r="W44" s="3">
        <f t="shared" si="79"/>
        <v>0.33417702439845415</v>
      </c>
      <c r="X44" s="3">
        <f t="shared" si="79"/>
        <v>0.3398777651775553</v>
      </c>
      <c r="Y44" s="3">
        <f t="shared" si="79"/>
        <v>0.34534836489893422</v>
      </c>
      <c r="Z44" s="3">
        <f t="shared" si="79"/>
        <v>0.35059510594387805</v>
      </c>
    </row>
    <row r="45" spans="1:220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/>
      <c r="P45" s="3">
        <f>P103/P22</f>
        <v>0</v>
      </c>
      <c r="Q45" s="3">
        <f>Q103/Q22</f>
        <v>0</v>
      </c>
      <c r="R45" s="3">
        <f t="shared" ref="R45:Z45" si="80">R103/R22</f>
        <v>0</v>
      </c>
      <c r="S45" s="3">
        <f t="shared" si="80"/>
        <v>0.21217242500954617</v>
      </c>
      <c r="T45" s="3">
        <f t="shared" si="80"/>
        <v>0.22607793255561268</v>
      </c>
      <c r="U45" s="3">
        <f t="shared" si="80"/>
        <v>0.20354381774651589</v>
      </c>
      <c r="V45" s="3">
        <f t="shared" si="80"/>
        <v>0.15399001216473063</v>
      </c>
      <c r="W45" s="3">
        <f t="shared" si="80"/>
        <v>0.19983934283990704</v>
      </c>
      <c r="X45" s="3">
        <f t="shared" si="80"/>
        <v>0.23908713015979607</v>
      </c>
      <c r="Y45" s="3">
        <f t="shared" si="80"/>
        <v>0.27280168801919685</v>
      </c>
      <c r="Z45" s="3">
        <f t="shared" si="80"/>
        <v>0.30186600344829084</v>
      </c>
    </row>
    <row r="46" spans="1:22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20" x14ac:dyDescent="0.25">
      <c r="A47" s="2" t="s">
        <v>105</v>
      </c>
      <c r="C47" s="3">
        <f t="shared" ref="C47:M47" si="81">C19/B19-1</f>
        <v>6.9785833023998878E-2</v>
      </c>
      <c r="D47" s="3">
        <f t="shared" si="81"/>
        <v>2.5661914460285207E-2</v>
      </c>
      <c r="E47" s="3">
        <f t="shared" si="81"/>
        <v>0.12245168122848815</v>
      </c>
      <c r="F47" s="3">
        <f t="shared" si="81"/>
        <v>-7.7485552541573299E-2</v>
      </c>
      <c r="G47" s="3">
        <f t="shared" si="81"/>
        <v>5.014346998494279E-2</v>
      </c>
      <c r="H47" s="3">
        <f t="shared" si="81"/>
        <v>3.4925873823179243E-2</v>
      </c>
      <c r="I47" s="3">
        <f t="shared" si="81"/>
        <v>9.9124297477453993E-2</v>
      </c>
      <c r="J47" s="3">
        <f t="shared" si="81"/>
        <v>-7.357457131305456E-2</v>
      </c>
      <c r="K47" s="3">
        <f t="shared" si="81"/>
        <v>5.2121639671597775E-2</v>
      </c>
      <c r="L47" s="3">
        <f t="shared" si="81"/>
        <v>5.2322998229326512E-2</v>
      </c>
      <c r="M47" s="3">
        <f t="shared" si="81"/>
        <v>5.2520464288180468E-2</v>
      </c>
      <c r="N47" s="3"/>
      <c r="O47" s="3"/>
      <c r="P47" s="3"/>
      <c r="Q47" s="3">
        <f t="shared" ref="Q47:Z47" si="82">Q19/P19-1</f>
        <v>0.12770532012826141</v>
      </c>
      <c r="R47" s="3">
        <f t="shared" si="82"/>
        <v>0.41150076427049154</v>
      </c>
      <c r="S47" s="3">
        <f t="shared" si="82"/>
        <v>-1.5948796174462543E-2</v>
      </c>
      <c r="T47" s="3">
        <f t="shared" si="82"/>
        <v>7.5001577735003711E-2</v>
      </c>
      <c r="U47" s="3">
        <f t="shared" si="82"/>
        <v>0.11883262457667221</v>
      </c>
      <c r="V47" s="3">
        <f t="shared" si="82"/>
        <v>0.10489934301524939</v>
      </c>
      <c r="W47" s="3">
        <f t="shared" si="82"/>
        <v>8.8459895915203424E-2</v>
      </c>
      <c r="X47" s="3">
        <f t="shared" si="82"/>
        <v>8.88119802265257E-2</v>
      </c>
      <c r="Y47" s="3">
        <f t="shared" si="82"/>
        <v>8.9149974906048479E-2</v>
      </c>
      <c r="Z47" s="3">
        <f t="shared" si="82"/>
        <v>8.9474411553695843E-2</v>
      </c>
      <c r="AC47" s="8"/>
    </row>
    <row r="48" spans="1:220" x14ac:dyDescent="0.25">
      <c r="A48" s="2" t="s">
        <v>38</v>
      </c>
      <c r="C48" s="3">
        <f t="shared" ref="C48:M48" si="83">C20/B20-1</f>
        <v>7.7408103031929132E-2</v>
      </c>
      <c r="D48" s="3">
        <f t="shared" si="83"/>
        <v>4.731664798904256E-2</v>
      </c>
      <c r="E48" s="3">
        <f t="shared" si="83"/>
        <v>9.2854595172987775E-2</v>
      </c>
      <c r="F48" s="3">
        <f t="shared" si="83"/>
        <v>4.155787641427322E-2</v>
      </c>
      <c r="G48" s="3">
        <f t="shared" si="83"/>
        <v>8.0739502820137865E-2</v>
      </c>
      <c r="H48" s="3">
        <f t="shared" si="83"/>
        <v>9.7226249154344302E-2</v>
      </c>
      <c r="I48" s="3">
        <f t="shared" si="83"/>
        <v>5.3025631991544087E-2</v>
      </c>
      <c r="J48" s="3">
        <f t="shared" si="83"/>
        <v>0.1399999999999999</v>
      </c>
      <c r="K48" s="3">
        <f t="shared" si="83"/>
        <v>0.1399999999999999</v>
      </c>
      <c r="L48" s="3">
        <f t="shared" si="83"/>
        <v>0.1399999999999999</v>
      </c>
      <c r="M48" s="3">
        <f t="shared" si="83"/>
        <v>0.1399999999999999</v>
      </c>
      <c r="N48" s="3"/>
      <c r="O48" s="3"/>
      <c r="P48" s="3"/>
      <c r="Q48" s="3"/>
      <c r="R48" s="3"/>
      <c r="S48" s="3"/>
      <c r="T48" s="3">
        <f t="shared" ref="T48:Z48" si="84">T20/S20-1</f>
        <v>0.25905631659056327</v>
      </c>
      <c r="U48" s="3">
        <f t="shared" si="84"/>
        <v>0.30648573500967125</v>
      </c>
      <c r="V48" s="3">
        <f t="shared" si="84"/>
        <v>0.55147690746489575</v>
      </c>
      <c r="W48" s="3">
        <f t="shared" si="84"/>
        <v>0.19999999999999996</v>
      </c>
      <c r="X48" s="3">
        <f t="shared" si="84"/>
        <v>0.19999999999999996</v>
      </c>
      <c r="Y48" s="3">
        <f t="shared" si="84"/>
        <v>0.19999999999999996</v>
      </c>
      <c r="Z48" s="3">
        <f t="shared" si="84"/>
        <v>0.19999999999999996</v>
      </c>
      <c r="AC48" s="8"/>
    </row>
    <row r="49" spans="1:26" x14ac:dyDescent="0.25">
      <c r="A49" s="2" t="s">
        <v>53</v>
      </c>
      <c r="B49" s="3">
        <f t="shared" ref="B49:M49" si="85">B20/B22</f>
        <v>0.10681072406035508</v>
      </c>
      <c r="C49" s="3">
        <f t="shared" si="85"/>
        <v>0.10764838346469358</v>
      </c>
      <c r="D49" s="3">
        <f t="shared" si="85"/>
        <v>0.10967102603888229</v>
      </c>
      <c r="E49" s="3">
        <f t="shared" si="85"/>
        <v>0.10649982620785541</v>
      </c>
      <c r="F49" s="3">
        <f t="shared" si="85"/>
        <v>0.11887408584660848</v>
      </c>
      <c r="G49" s="3">
        <f t="shared" si="85"/>
        <v>0.1221000212409431</v>
      </c>
      <c r="H49" s="3">
        <f t="shared" si="85"/>
        <v>0.12861965831331854</v>
      </c>
      <c r="I49" s="3">
        <f t="shared" si="85"/>
        <v>0.12392582072997543</v>
      </c>
      <c r="J49" s="3">
        <f t="shared" si="85"/>
        <v>0.14825710037582354</v>
      </c>
      <c r="K49" s="3">
        <f t="shared" si="85"/>
        <v>0.15869569330619443</v>
      </c>
      <c r="L49" s="3">
        <f t="shared" si="85"/>
        <v>0.16969531007881675</v>
      </c>
      <c r="M49" s="3">
        <f t="shared" si="85"/>
        <v>0.18126465154417748</v>
      </c>
      <c r="P49" s="3">
        <f t="shared" ref="P49:Z49" si="86">P20/P22</f>
        <v>0</v>
      </c>
      <c r="Q49" s="3">
        <f t="shared" si="86"/>
        <v>0</v>
      </c>
      <c r="R49" s="3">
        <f t="shared" si="86"/>
        <v>0</v>
      </c>
      <c r="S49" s="3">
        <f t="shared" si="86"/>
        <v>9.2916036148156522E-2</v>
      </c>
      <c r="T49" s="3">
        <f t="shared" si="86"/>
        <v>0.10764035732642797</v>
      </c>
      <c r="U49" s="3">
        <f t="shared" si="86"/>
        <v>0.12350507688176036</v>
      </c>
      <c r="V49" s="3">
        <f t="shared" si="86"/>
        <v>0.1653587628586595</v>
      </c>
      <c r="W49" s="3">
        <f t="shared" si="86"/>
        <v>0.17929095925812777</v>
      </c>
      <c r="X49" s="3">
        <f t="shared" si="86"/>
        <v>0.19407269479901648</v>
      </c>
      <c r="Y49" s="3">
        <f t="shared" si="86"/>
        <v>0.20970945217615722</v>
      </c>
      <c r="Z49" s="3">
        <f t="shared" si="86"/>
        <v>0.22619947814275404</v>
      </c>
    </row>
    <row r="51" spans="1:26" x14ac:dyDescent="0.25">
      <c r="A51" s="2" t="s">
        <v>84</v>
      </c>
      <c r="E51" s="2">
        <v>41995</v>
      </c>
      <c r="I51" s="2">
        <v>47375</v>
      </c>
      <c r="J51" s="3"/>
      <c r="S51" s="2">
        <v>134814</v>
      </c>
      <c r="T51" s="2">
        <v>146286</v>
      </c>
      <c r="U51" s="2">
        <v>170447</v>
      </c>
      <c r="V51" s="3"/>
    </row>
    <row r="52" spans="1:26" x14ac:dyDescent="0.25">
      <c r="A52" s="2" t="s">
        <v>85</v>
      </c>
      <c r="E52" s="2">
        <v>25010</v>
      </c>
      <c r="I52" s="2">
        <v>28184</v>
      </c>
      <c r="J52" s="3"/>
      <c r="S52" s="2">
        <v>82062</v>
      </c>
      <c r="T52" s="2">
        <v>91038</v>
      </c>
      <c r="U52" s="2">
        <v>102127</v>
      </c>
      <c r="V52" s="3"/>
    </row>
    <row r="53" spans="1:26" x14ac:dyDescent="0.25">
      <c r="A53" s="2" t="s">
        <v>86</v>
      </c>
      <c r="E53" s="2">
        <v>13979</v>
      </c>
      <c r="I53" s="2">
        <v>15156</v>
      </c>
      <c r="J53" s="3"/>
      <c r="S53" s="2">
        <v>47024</v>
      </c>
      <c r="T53" s="2">
        <v>51514</v>
      </c>
      <c r="U53" s="2">
        <v>56815</v>
      </c>
    </row>
    <row r="54" spans="1:26" x14ac:dyDescent="0.25">
      <c r="A54" s="2" t="s">
        <v>87</v>
      </c>
      <c r="E54" s="2">
        <v>5176</v>
      </c>
      <c r="I54" s="2">
        <v>5734</v>
      </c>
      <c r="J54" s="3"/>
      <c r="K54" s="3"/>
      <c r="S54" s="2">
        <v>16976</v>
      </c>
      <c r="T54" s="2">
        <v>18320</v>
      </c>
      <c r="U54" s="2">
        <v>20418</v>
      </c>
    </row>
    <row r="56" spans="1:26" x14ac:dyDescent="0.25">
      <c r="A56" s="2" t="s">
        <v>54</v>
      </c>
      <c r="B56" s="2">
        <f t="shared" ref="B56:M56" si="87">B58-B73</f>
        <v>0</v>
      </c>
      <c r="C56" s="2">
        <f t="shared" si="87"/>
        <v>0</v>
      </c>
      <c r="D56" s="2">
        <f t="shared" si="87"/>
        <v>0</v>
      </c>
      <c r="E56" s="2">
        <f t="shared" si="87"/>
        <v>0</v>
      </c>
      <c r="F56" s="2">
        <f t="shared" si="87"/>
        <v>0</v>
      </c>
      <c r="G56" s="2">
        <f t="shared" si="87"/>
        <v>0</v>
      </c>
      <c r="H56" s="2">
        <f t="shared" si="87"/>
        <v>0</v>
      </c>
      <c r="I56" s="2">
        <f t="shared" si="87"/>
        <v>84774</v>
      </c>
      <c r="J56" s="2">
        <f t="shared" si="87"/>
        <v>72477.035541113146</v>
      </c>
      <c r="K56" s="2">
        <f t="shared" si="87"/>
        <v>115016.09859894842</v>
      </c>
      <c r="L56" s="2">
        <f t="shared" si="87"/>
        <v>142243.432228719</v>
      </c>
      <c r="M56" s="2">
        <f t="shared" si="87"/>
        <v>171301.4967397076</v>
      </c>
      <c r="P56" s="2">
        <f t="shared" ref="P56:U56" si="88">P58-P73</f>
        <v>0</v>
      </c>
      <c r="Q56" s="2">
        <f t="shared" si="88"/>
        <v>0</v>
      </c>
      <c r="R56" s="2">
        <f t="shared" si="88"/>
        <v>0</v>
      </c>
      <c r="S56" s="2">
        <f t="shared" si="88"/>
        <v>0</v>
      </c>
      <c r="T56" s="2">
        <f t="shared" si="88"/>
        <v>99046</v>
      </c>
      <c r="U56" s="2">
        <f t="shared" si="88"/>
        <v>84774</v>
      </c>
      <c r="V56" s="2">
        <f>U56+V34</f>
        <v>198027.37938286102</v>
      </c>
      <c r="W56" s="2">
        <f>V56+W34</f>
        <v>330468.49641129479</v>
      </c>
      <c r="X56" s="2">
        <f>W56+X34</f>
        <v>484853.13403681561</v>
      </c>
      <c r="Y56" s="2">
        <f>X56+Y34</f>
        <v>664344.85189854505</v>
      </c>
      <c r="Z56" s="2">
        <f>Y56+Z34</f>
        <v>872580.84336420475</v>
      </c>
    </row>
    <row r="58" spans="1:26" x14ac:dyDescent="0.25">
      <c r="A58" s="2" t="s">
        <v>4</v>
      </c>
      <c r="I58" s="2">
        <f>23466+72191</f>
        <v>95657</v>
      </c>
      <c r="J58" s="2">
        <f>I58+J34+J100</f>
        <v>89477.035541113146</v>
      </c>
      <c r="K58" s="2">
        <f t="shared" ref="K58:M58" si="89">J58+K34+K100</f>
        <v>115016.09859894842</v>
      </c>
      <c r="L58" s="2">
        <f t="shared" si="89"/>
        <v>142243.432228719</v>
      </c>
      <c r="M58" s="2">
        <f t="shared" si="89"/>
        <v>171301.4967397076</v>
      </c>
      <c r="T58" s="2">
        <f>24048+86868</f>
        <v>110916</v>
      </c>
      <c r="U58" s="2">
        <f>23466+72191</f>
        <v>95657</v>
      </c>
    </row>
    <row r="59" spans="1:26" x14ac:dyDescent="0.25">
      <c r="A59" s="2" t="s">
        <v>46</v>
      </c>
      <c r="I59" s="2">
        <v>52340</v>
      </c>
      <c r="J59" s="2">
        <f>J80*J22/90</f>
        <v>55155.671999999991</v>
      </c>
      <c r="K59" s="2">
        <f t="shared" ref="K59:M59" si="90">K80*K22/90</f>
        <v>58741.548719999999</v>
      </c>
      <c r="L59" s="2">
        <f t="shared" si="90"/>
        <v>62624.683658400005</v>
      </c>
      <c r="M59" s="2">
        <f t="shared" si="90"/>
        <v>66835.486811544019</v>
      </c>
      <c r="T59" s="2">
        <v>47964</v>
      </c>
      <c r="U59" s="2">
        <v>52340</v>
      </c>
    </row>
    <row r="60" spans="1:26" x14ac:dyDescent="0.25">
      <c r="A60" s="2" t="s">
        <v>63</v>
      </c>
      <c r="I60" s="2">
        <v>37982</v>
      </c>
      <c r="T60" s="2">
        <v>31008</v>
      </c>
      <c r="U60" s="2">
        <v>37982</v>
      </c>
    </row>
    <row r="61" spans="1:26" x14ac:dyDescent="0.25">
      <c r="A61" s="2" t="s">
        <v>90</v>
      </c>
      <c r="I61" s="2">
        <v>17180</v>
      </c>
      <c r="T61" s="2">
        <v>12169</v>
      </c>
      <c r="U61" s="2">
        <v>17180</v>
      </c>
    </row>
    <row r="62" spans="1:26" x14ac:dyDescent="0.25">
      <c r="A62" s="2" t="s">
        <v>50</v>
      </c>
      <c r="I62" s="2">
        <v>171036</v>
      </c>
      <c r="T62" s="2">
        <v>134345</v>
      </c>
      <c r="U62" s="2">
        <v>171036</v>
      </c>
    </row>
    <row r="63" spans="1:26" x14ac:dyDescent="0.25">
      <c r="A63" s="2" t="s">
        <v>65</v>
      </c>
      <c r="I63" s="2">
        <v>13588</v>
      </c>
      <c r="T63" s="2">
        <v>14091</v>
      </c>
      <c r="U63" s="2">
        <v>13588</v>
      </c>
    </row>
    <row r="64" spans="1:26" x14ac:dyDescent="0.25">
      <c r="A64" s="2" t="s">
        <v>66</v>
      </c>
      <c r="I64" s="2">
        <v>31885</v>
      </c>
      <c r="T64" s="2">
        <v>29198</v>
      </c>
      <c r="U64" s="2">
        <v>31885</v>
      </c>
    </row>
    <row r="65" spans="1:26" x14ac:dyDescent="0.25">
      <c r="A65" s="2" t="s">
        <v>14</v>
      </c>
      <c r="I65" s="2">
        <f>15714+14874</f>
        <v>30588</v>
      </c>
      <c r="T65" s="2">
        <f>12650+10051</f>
        <v>22701</v>
      </c>
      <c r="U65" s="2">
        <f>15714+14874</f>
        <v>30588</v>
      </c>
    </row>
    <row r="66" spans="1:26" x14ac:dyDescent="0.25">
      <c r="A66" s="2" t="s">
        <v>59</v>
      </c>
      <c r="I66" s="2">
        <f>SUM(I58:I65)</f>
        <v>450256</v>
      </c>
      <c r="T66" s="2">
        <f>SUM(T58:T65)</f>
        <v>402392</v>
      </c>
      <c r="U66" s="2">
        <f>SUM(U58:U65)</f>
        <v>450256</v>
      </c>
    </row>
    <row r="68" spans="1:26" x14ac:dyDescent="0.25">
      <c r="A68" s="2" t="s">
        <v>47</v>
      </c>
      <c r="I68" s="2">
        <v>7987</v>
      </c>
      <c r="T68" s="2">
        <v>7493</v>
      </c>
      <c r="U68" s="2">
        <v>7987</v>
      </c>
    </row>
    <row r="69" spans="1:26" x14ac:dyDescent="0.25">
      <c r="A69" s="2" t="s">
        <v>52</v>
      </c>
      <c r="I69" s="2">
        <v>15069</v>
      </c>
      <c r="T69" s="2">
        <v>15140</v>
      </c>
      <c r="U69" s="2">
        <v>15069</v>
      </c>
    </row>
    <row r="70" spans="1:26" x14ac:dyDescent="0.25">
      <c r="A70" s="2" t="s">
        <v>67</v>
      </c>
      <c r="I70" s="2">
        <v>51228</v>
      </c>
      <c r="T70" s="2">
        <v>46168</v>
      </c>
      <c r="U70" s="2">
        <v>51228</v>
      </c>
    </row>
    <row r="71" spans="1:26" x14ac:dyDescent="0.25">
      <c r="A71" s="2" t="s">
        <v>68</v>
      </c>
      <c r="I71" s="2">
        <v>9802</v>
      </c>
      <c r="T71" s="2">
        <v>8876</v>
      </c>
      <c r="U71" s="2">
        <v>9802</v>
      </c>
    </row>
    <row r="72" spans="1:26" x14ac:dyDescent="0.25">
      <c r="A72" s="2" t="s">
        <v>69</v>
      </c>
      <c r="I72" s="2">
        <v>5036</v>
      </c>
      <c r="T72" s="2">
        <v>4137</v>
      </c>
      <c r="U72" s="2">
        <v>5036</v>
      </c>
    </row>
    <row r="73" spans="1:26" x14ac:dyDescent="0.25">
      <c r="A73" s="2" t="s">
        <v>5</v>
      </c>
      <c r="I73" s="2">
        <v>10883</v>
      </c>
      <c r="J73" s="2">
        <v>17000</v>
      </c>
      <c r="T73" s="2">
        <v>11870</v>
      </c>
      <c r="U73" s="2">
        <v>10883</v>
      </c>
    </row>
    <row r="74" spans="1:26" x14ac:dyDescent="0.25">
      <c r="A74" s="2" t="s">
        <v>71</v>
      </c>
      <c r="I74" s="2">
        <v>8782</v>
      </c>
      <c r="T74" s="2">
        <v>8474</v>
      </c>
      <c r="U74" s="2">
        <v>8782</v>
      </c>
    </row>
    <row r="75" spans="1:26" x14ac:dyDescent="0.25">
      <c r="A75" s="2" t="s">
        <v>70</v>
      </c>
      <c r="I75" s="2">
        <f>11691+4694</f>
        <v>16385</v>
      </c>
      <c r="T75" s="2">
        <f>12460+4395</f>
        <v>16855</v>
      </c>
      <c r="U75" s="2">
        <f>11691+4694</f>
        <v>16385</v>
      </c>
    </row>
    <row r="76" spans="1:26" x14ac:dyDescent="0.25">
      <c r="A76" s="2" t="s">
        <v>60</v>
      </c>
      <c r="I76" s="2">
        <f>SUM(I68:I75)</f>
        <v>125172</v>
      </c>
      <c r="T76" s="2">
        <f>SUM(T68:T75)</f>
        <v>119013</v>
      </c>
      <c r="U76" s="2">
        <f>SUM(U68:U75)</f>
        <v>125172</v>
      </c>
    </row>
    <row r="77" spans="1:26" x14ac:dyDescent="0.25">
      <c r="A77" s="2" t="s">
        <v>61</v>
      </c>
      <c r="I77" s="2">
        <f>I66-I76</f>
        <v>325084</v>
      </c>
      <c r="T77" s="2">
        <f>T66-T76</f>
        <v>283379</v>
      </c>
      <c r="U77" s="2">
        <f>U66-U76</f>
        <v>325084</v>
      </c>
    </row>
    <row r="78" spans="1:26" x14ac:dyDescent="0.25">
      <c r="A78" s="2" t="s">
        <v>62</v>
      </c>
      <c r="I78" s="2">
        <f>I76+I77</f>
        <v>450256</v>
      </c>
      <c r="T78" s="2">
        <f>T76+T77</f>
        <v>402392</v>
      </c>
      <c r="U78" s="2">
        <f>U76+U77</f>
        <v>450256</v>
      </c>
    </row>
    <row r="80" spans="1:26" x14ac:dyDescent="0.25">
      <c r="A80" s="2" t="s">
        <v>56</v>
      </c>
      <c r="B80" s="2">
        <f t="shared" ref="B80:I80" si="91">(B59/B22)*90</f>
        <v>0</v>
      </c>
      <c r="C80" s="2">
        <f t="shared" si="91"/>
        <v>0</v>
      </c>
      <c r="D80" s="2">
        <f t="shared" si="91"/>
        <v>0</v>
      </c>
      <c r="E80" s="2">
        <f t="shared" si="91"/>
        <v>0</v>
      </c>
      <c r="F80" s="2">
        <f t="shared" si="91"/>
        <v>0</v>
      </c>
      <c r="G80" s="2">
        <f t="shared" si="91"/>
        <v>0</v>
      </c>
      <c r="H80" s="2">
        <f t="shared" si="91"/>
        <v>0</v>
      </c>
      <c r="I80" s="2">
        <f t="shared" si="91"/>
        <v>48.830194155635489</v>
      </c>
      <c r="J80" s="2">
        <v>54</v>
      </c>
      <c r="K80" s="2">
        <v>54</v>
      </c>
      <c r="L80" s="2">
        <v>54</v>
      </c>
      <c r="M80" s="2">
        <v>54</v>
      </c>
      <c r="R80" s="2">
        <f t="shared" ref="R80:Y80" si="92">(R59/R22)*360</f>
        <v>0</v>
      </c>
      <c r="S80" s="2">
        <f t="shared" si="92"/>
        <v>0</v>
      </c>
      <c r="T80" s="2">
        <f t="shared" si="92"/>
        <v>56.172339082740713</v>
      </c>
      <c r="U80" s="2">
        <f t="shared" si="92"/>
        <v>53.832660034626791</v>
      </c>
      <c r="V80" s="2">
        <f t="shared" si="92"/>
        <v>0</v>
      </c>
      <c r="W80" s="2">
        <f t="shared" si="92"/>
        <v>0</v>
      </c>
      <c r="X80" s="2">
        <f t="shared" si="92"/>
        <v>0</v>
      </c>
      <c r="Y80" s="2">
        <f t="shared" si="92"/>
        <v>0</v>
      </c>
      <c r="Z80" s="2">
        <f>(Z59/Z22)*365</f>
        <v>0</v>
      </c>
    </row>
    <row r="82" spans="1:29" x14ac:dyDescent="0.25">
      <c r="A82" s="2" t="s">
        <v>57</v>
      </c>
      <c r="B82" s="2">
        <f t="shared" ref="B82:M82" si="93">+B34</f>
        <v>15051</v>
      </c>
      <c r="C82" s="2">
        <f t="shared" si="93"/>
        <v>18368</v>
      </c>
      <c r="D82" s="2">
        <f t="shared" si="93"/>
        <v>19689</v>
      </c>
      <c r="E82" s="2">
        <f t="shared" si="93"/>
        <v>20687</v>
      </c>
      <c r="F82" s="2">
        <f t="shared" si="93"/>
        <v>23662</v>
      </c>
      <c r="G82" s="2">
        <f t="shared" si="93"/>
        <v>23619</v>
      </c>
      <c r="H82" s="2">
        <f t="shared" si="93"/>
        <v>26301</v>
      </c>
      <c r="I82" s="2">
        <f t="shared" si="93"/>
        <v>26536</v>
      </c>
      <c r="J82" s="2">
        <f t="shared" si="93"/>
        <v>25820.035541113142</v>
      </c>
      <c r="K82" s="2">
        <f t="shared" si="93"/>
        <v>25539.063057835279</v>
      </c>
      <c r="L82" s="2">
        <f t="shared" si="93"/>
        <v>27227.333629770597</v>
      </c>
      <c r="M82" s="2">
        <f t="shared" si="93"/>
        <v>29058.06451098861</v>
      </c>
      <c r="S82" s="2">
        <f t="shared" ref="S82:Z82" si="94">+S34</f>
        <v>63486</v>
      </c>
      <c r="T82" s="2">
        <f t="shared" si="94"/>
        <v>73975</v>
      </c>
      <c r="U82" s="2">
        <f t="shared" si="94"/>
        <v>100122</v>
      </c>
      <c r="V82" s="2">
        <f t="shared" si="94"/>
        <v>113253.37938286104</v>
      </c>
      <c r="W82" s="2">
        <f t="shared" si="94"/>
        <v>132441.11702843374</v>
      </c>
      <c r="X82" s="2">
        <f t="shared" si="94"/>
        <v>154384.63762552085</v>
      </c>
      <c r="Y82" s="2">
        <f t="shared" si="94"/>
        <v>179491.71786172941</v>
      </c>
      <c r="Z82" s="2">
        <f t="shared" si="94"/>
        <v>208235.99146565975</v>
      </c>
    </row>
    <row r="83" spans="1:29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25820.035541113142</v>
      </c>
      <c r="K83" s="2">
        <f t="shared" ref="K83:M83" si="95">K82</f>
        <v>25539.063057835279</v>
      </c>
      <c r="L83" s="2">
        <f t="shared" si="95"/>
        <v>27227.333629770597</v>
      </c>
      <c r="M83" s="2">
        <f t="shared" si="95"/>
        <v>29058.06451098861</v>
      </c>
      <c r="S83" s="2">
        <v>59972</v>
      </c>
      <c r="T83" s="2">
        <v>73795</v>
      </c>
      <c r="U83" s="2">
        <v>100118</v>
      </c>
      <c r="V83" s="2">
        <f>V82</f>
        <v>113253.37938286104</v>
      </c>
      <c r="W83" s="2">
        <f t="shared" ref="W83:Z83" si="96">W82</f>
        <v>132441.11702843374</v>
      </c>
      <c r="X83" s="2">
        <f t="shared" si="96"/>
        <v>154384.63762552085</v>
      </c>
      <c r="Y83" s="2">
        <f t="shared" si="96"/>
        <v>179491.71786172941</v>
      </c>
      <c r="Z83" s="2">
        <f t="shared" si="96"/>
        <v>208235.99146565975</v>
      </c>
    </row>
    <row r="84" spans="1:29" x14ac:dyDescent="0.25">
      <c r="A84" s="2" t="s">
        <v>72</v>
      </c>
      <c r="I84" s="2">
        <v>4205</v>
      </c>
      <c r="S84" s="2">
        <v>13475</v>
      </c>
      <c r="T84" s="2">
        <v>11946</v>
      </c>
      <c r="U84" s="2">
        <v>15311</v>
      </c>
      <c r="V84" s="2">
        <f>U84*1.1</f>
        <v>16842.100000000002</v>
      </c>
      <c r="W84" s="2">
        <f t="shared" ref="W84:Z84" si="97">V84*1.1</f>
        <v>18526.310000000005</v>
      </c>
      <c r="X84" s="2">
        <f t="shared" si="97"/>
        <v>20378.941000000006</v>
      </c>
      <c r="Y84" s="2">
        <f t="shared" si="97"/>
        <v>22416.835100000008</v>
      </c>
      <c r="Z84" s="2">
        <f t="shared" si="97"/>
        <v>24658.51861000001</v>
      </c>
    </row>
    <row r="85" spans="1:29" x14ac:dyDescent="0.25">
      <c r="A85" s="2" t="s">
        <v>73</v>
      </c>
      <c r="I85" s="2">
        <v>5810</v>
      </c>
      <c r="S85" s="2">
        <v>19362</v>
      </c>
      <c r="T85" s="2">
        <v>22460</v>
      </c>
      <c r="U85" s="2">
        <v>22785</v>
      </c>
      <c r="V85" s="2">
        <f>U85*1.02</f>
        <v>23240.7</v>
      </c>
      <c r="W85" s="2">
        <f t="shared" ref="W85:Z85" si="98">V85*1.02</f>
        <v>23705.514000000003</v>
      </c>
      <c r="X85" s="2">
        <f t="shared" si="98"/>
        <v>24179.624280000004</v>
      </c>
      <c r="Y85" s="2">
        <f t="shared" si="98"/>
        <v>24663.216765600006</v>
      </c>
      <c r="Z85" s="2">
        <f t="shared" si="98"/>
        <v>25156.481100912006</v>
      </c>
    </row>
    <row r="86" spans="1:29" x14ac:dyDescent="0.25">
      <c r="A86" s="2" t="s">
        <v>64</v>
      </c>
      <c r="I86" s="2">
        <v>-1448</v>
      </c>
      <c r="S86" s="2">
        <v>-8081</v>
      </c>
      <c r="T86" s="2">
        <v>-7763</v>
      </c>
      <c r="U86" s="2">
        <v>-5257</v>
      </c>
      <c r="V86" s="2">
        <f t="shared" ref="V86:V95" si="99">U86*1.1</f>
        <v>-5782.7000000000007</v>
      </c>
      <c r="W86" s="2">
        <f t="shared" ref="W86:W95" si="100">V86*1.1</f>
        <v>-6360.9700000000012</v>
      </c>
      <c r="X86" s="2">
        <f t="shared" ref="X86:X95" si="101">W86*1.1</f>
        <v>-6997.0670000000018</v>
      </c>
      <c r="Y86" s="2">
        <f t="shared" ref="Y86:Y95" si="102">X86*1.1</f>
        <v>-7696.7737000000025</v>
      </c>
      <c r="Z86" s="2">
        <f t="shared" ref="Z86:Z95" si="103">Y86*1.1</f>
        <v>-8466.4510700000028</v>
      </c>
    </row>
    <row r="87" spans="1:29" x14ac:dyDescent="0.25">
      <c r="A87" s="2" t="s">
        <v>74</v>
      </c>
      <c r="I87" s="2">
        <v>67</v>
      </c>
      <c r="S87" s="2">
        <v>5519</v>
      </c>
      <c r="T87" s="2">
        <v>823</v>
      </c>
      <c r="U87" s="2">
        <v>-2671</v>
      </c>
      <c r="V87" s="2">
        <f t="shared" si="99"/>
        <v>-2938.1000000000004</v>
      </c>
      <c r="W87" s="2">
        <f t="shared" si="100"/>
        <v>-3231.9100000000008</v>
      </c>
      <c r="X87" s="2">
        <f t="shared" si="101"/>
        <v>-3555.101000000001</v>
      </c>
      <c r="Y87" s="2">
        <f t="shared" si="102"/>
        <v>-3910.6111000000014</v>
      </c>
      <c r="Z87" s="2">
        <f t="shared" si="103"/>
        <v>-4301.6722100000015</v>
      </c>
    </row>
    <row r="88" spans="1:29" x14ac:dyDescent="0.25">
      <c r="A88" s="2" t="s">
        <v>14</v>
      </c>
      <c r="I88" s="2">
        <v>827</v>
      </c>
      <c r="S88" s="2">
        <v>3483</v>
      </c>
      <c r="T88" s="2">
        <v>4330</v>
      </c>
      <c r="U88" s="2">
        <v>3419</v>
      </c>
      <c r="V88" s="2">
        <f t="shared" si="99"/>
        <v>3760.9</v>
      </c>
      <c r="W88" s="2">
        <f t="shared" si="100"/>
        <v>4136.9900000000007</v>
      </c>
      <c r="X88" s="2">
        <f t="shared" si="101"/>
        <v>4550.6890000000012</v>
      </c>
      <c r="Y88" s="2">
        <f t="shared" si="102"/>
        <v>5005.7579000000014</v>
      </c>
      <c r="Z88" s="2">
        <f t="shared" si="103"/>
        <v>5506.3336900000022</v>
      </c>
    </row>
    <row r="89" spans="1:29" x14ac:dyDescent="0.25">
      <c r="A89" s="2" t="s">
        <v>46</v>
      </c>
      <c r="I89" s="2">
        <v>-4570</v>
      </c>
      <c r="S89" s="2">
        <v>-2317</v>
      </c>
      <c r="T89" s="2">
        <v>-7833</v>
      </c>
      <c r="U89" s="2">
        <v>-5891</v>
      </c>
      <c r="V89" s="2">
        <f t="shared" si="99"/>
        <v>-6480.1</v>
      </c>
      <c r="W89" s="2">
        <f t="shared" si="100"/>
        <v>-7128.1100000000006</v>
      </c>
      <c r="X89" s="2">
        <f t="shared" si="101"/>
        <v>-7840.9210000000012</v>
      </c>
      <c r="Y89" s="2">
        <f t="shared" si="102"/>
        <v>-8625.0131000000019</v>
      </c>
      <c r="Z89" s="2">
        <f t="shared" si="103"/>
        <v>-9487.5144100000034</v>
      </c>
    </row>
    <row r="90" spans="1:29" x14ac:dyDescent="0.25">
      <c r="A90" s="2" t="s">
        <v>15</v>
      </c>
      <c r="I90" s="2">
        <v>379</v>
      </c>
      <c r="S90" s="2">
        <v>584</v>
      </c>
      <c r="T90" s="2">
        <v>523</v>
      </c>
      <c r="U90" s="2">
        <v>-2418</v>
      </c>
      <c r="V90" s="2">
        <f t="shared" si="99"/>
        <v>-2659.8</v>
      </c>
      <c r="W90" s="2">
        <f t="shared" si="100"/>
        <v>-2925.7800000000007</v>
      </c>
      <c r="X90" s="2">
        <f t="shared" si="101"/>
        <v>-3218.3580000000011</v>
      </c>
      <c r="Y90" s="2">
        <f t="shared" si="102"/>
        <v>-3540.1938000000014</v>
      </c>
      <c r="Z90" s="2">
        <f t="shared" si="103"/>
        <v>-3894.213180000002</v>
      </c>
    </row>
    <row r="91" spans="1:29" x14ac:dyDescent="0.25">
      <c r="A91" s="2" t="s">
        <v>75</v>
      </c>
      <c r="I91" s="2">
        <v>937</v>
      </c>
      <c r="S91" s="2">
        <v>-5046</v>
      </c>
      <c r="T91" s="2">
        <v>-2143</v>
      </c>
      <c r="U91" s="2">
        <v>-1397</v>
      </c>
      <c r="V91" s="2">
        <f t="shared" si="99"/>
        <v>-1536.7</v>
      </c>
      <c r="W91" s="2">
        <f t="shared" si="100"/>
        <v>-1690.3700000000001</v>
      </c>
      <c r="X91" s="2">
        <f t="shared" si="101"/>
        <v>-1859.4070000000004</v>
      </c>
      <c r="Y91" s="2">
        <f t="shared" si="102"/>
        <v>-2045.3477000000005</v>
      </c>
      <c r="Z91" s="2">
        <f t="shared" si="103"/>
        <v>-2249.8824700000009</v>
      </c>
    </row>
    <row r="92" spans="1:29" x14ac:dyDescent="0.25">
      <c r="A92" s="2" t="s">
        <v>47</v>
      </c>
      <c r="I92" s="2">
        <v>401</v>
      </c>
      <c r="S92" s="2">
        <v>707</v>
      </c>
      <c r="T92" s="2">
        <v>664</v>
      </c>
      <c r="U92" s="2">
        <v>-1161</v>
      </c>
      <c r="V92" s="2">
        <f t="shared" si="99"/>
        <v>-1277.1000000000001</v>
      </c>
      <c r="W92" s="2">
        <f t="shared" si="100"/>
        <v>-1404.8100000000002</v>
      </c>
      <c r="X92" s="2">
        <f t="shared" si="101"/>
        <v>-1545.2910000000004</v>
      </c>
      <c r="Y92" s="2">
        <f t="shared" si="102"/>
        <v>-1699.8201000000006</v>
      </c>
      <c r="Z92" s="2">
        <f t="shared" si="103"/>
        <v>-1869.8021100000008</v>
      </c>
    </row>
    <row r="93" spans="1:29" x14ac:dyDescent="0.25">
      <c r="A93" s="2" t="s">
        <v>76</v>
      </c>
      <c r="I93" s="2">
        <v>5205</v>
      </c>
      <c r="S93" s="2">
        <v>3915</v>
      </c>
      <c r="T93" s="2">
        <v>3937</v>
      </c>
      <c r="U93" s="2">
        <v>-1161</v>
      </c>
      <c r="V93" s="2">
        <f t="shared" si="99"/>
        <v>-1277.1000000000001</v>
      </c>
      <c r="W93" s="2">
        <f t="shared" si="100"/>
        <v>-1404.8100000000002</v>
      </c>
      <c r="X93" s="2">
        <f t="shared" si="101"/>
        <v>-1545.2910000000004</v>
      </c>
      <c r="Y93" s="2">
        <f t="shared" si="102"/>
        <v>-1699.8201000000006</v>
      </c>
      <c r="Z93" s="2">
        <f t="shared" si="103"/>
        <v>-1869.8021100000008</v>
      </c>
    </row>
    <row r="94" spans="1:29" x14ac:dyDescent="0.25">
      <c r="A94" s="2" t="s">
        <v>77</v>
      </c>
      <c r="I94" s="2">
        <v>581</v>
      </c>
      <c r="S94" s="2">
        <v>-445</v>
      </c>
      <c r="T94" s="2">
        <v>482</v>
      </c>
      <c r="U94" s="2">
        <v>1059</v>
      </c>
      <c r="V94" s="2">
        <f t="shared" si="99"/>
        <v>1164.9000000000001</v>
      </c>
      <c r="W94" s="2">
        <f t="shared" si="100"/>
        <v>1281.3900000000001</v>
      </c>
      <c r="X94" s="2">
        <f t="shared" si="101"/>
        <v>1409.5290000000002</v>
      </c>
      <c r="Y94" s="2">
        <f t="shared" si="102"/>
        <v>1550.4819000000005</v>
      </c>
      <c r="Z94" s="2">
        <f t="shared" si="103"/>
        <v>1705.5300900000007</v>
      </c>
    </row>
    <row r="95" spans="1:29" x14ac:dyDescent="0.25">
      <c r="A95" s="2" t="s">
        <v>69</v>
      </c>
      <c r="I95" s="2">
        <v>183</v>
      </c>
      <c r="S95" s="2">
        <v>367</v>
      </c>
      <c r="T95" s="2">
        <v>525</v>
      </c>
      <c r="U95" s="2">
        <v>1043</v>
      </c>
      <c r="V95" s="2">
        <f t="shared" si="99"/>
        <v>1147.3000000000002</v>
      </c>
      <c r="W95" s="2">
        <f t="shared" si="100"/>
        <v>1262.0300000000002</v>
      </c>
      <c r="X95" s="2">
        <f t="shared" si="101"/>
        <v>1388.2330000000004</v>
      </c>
      <c r="Y95" s="2">
        <f t="shared" si="102"/>
        <v>1527.0563000000006</v>
      </c>
      <c r="Z95" s="2">
        <f t="shared" si="103"/>
        <v>1679.7619300000008</v>
      </c>
    </row>
    <row r="96" spans="1:29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/>
      <c r="S96" s="5">
        <f>SUM(S83:S95)</f>
        <v>91495</v>
      </c>
      <c r="T96" s="5">
        <f t="shared" ref="T96:Z96" si="104">SUM(T83:T95)</f>
        <v>101746</v>
      </c>
      <c r="U96" s="5">
        <f t="shared" si="104"/>
        <v>123779</v>
      </c>
      <c r="V96" s="5">
        <f t="shared" si="104"/>
        <v>137457.67938286098</v>
      </c>
      <c r="W96" s="5">
        <f t="shared" si="104"/>
        <v>157206.59102843376</v>
      </c>
      <c r="X96" s="5">
        <f t="shared" si="104"/>
        <v>179730.21790552087</v>
      </c>
      <c r="Y96" s="5">
        <f t="shared" si="104"/>
        <v>205437.48622732935</v>
      </c>
      <c r="Z96" s="5">
        <f t="shared" si="104"/>
        <v>234803.27932657179</v>
      </c>
      <c r="AB96" s="2" t="s">
        <v>55</v>
      </c>
      <c r="AC96" s="3">
        <v>0.06</v>
      </c>
    </row>
    <row r="97" spans="1:163" x14ac:dyDescent="0.25">
      <c r="A97" s="2" t="s">
        <v>78</v>
      </c>
      <c r="I97" s="2">
        <v>-14276</v>
      </c>
      <c r="S97" s="2">
        <v>-31485</v>
      </c>
      <c r="T97" s="2">
        <v>-32251</v>
      </c>
      <c r="U97" s="2">
        <v>-52535</v>
      </c>
      <c r="AB97" s="2" t="s">
        <v>29</v>
      </c>
      <c r="AC97" s="3">
        <v>0.01</v>
      </c>
    </row>
    <row r="98" spans="1:163" x14ac:dyDescent="0.25">
      <c r="A98" s="2" t="s">
        <v>79</v>
      </c>
      <c r="I98" s="2">
        <f>-21645-1800</f>
        <v>-23445</v>
      </c>
      <c r="S98" s="2">
        <f>+-78874-2531</f>
        <v>-81405</v>
      </c>
      <c r="T98" s="2">
        <f>+-77858-3027</f>
        <v>-80885</v>
      </c>
      <c r="U98" s="2">
        <f>+-86679-5034</f>
        <v>-91713</v>
      </c>
      <c r="AB98" s="2" t="s">
        <v>30</v>
      </c>
      <c r="AC98" s="9">
        <v>0.08</v>
      </c>
    </row>
    <row r="99" spans="1:163" x14ac:dyDescent="0.25">
      <c r="A99" s="2" t="s">
        <v>80</v>
      </c>
      <c r="I99" s="2">
        <f>21649+150</f>
        <v>21799</v>
      </c>
      <c r="S99" s="2">
        <f>97822+150</f>
        <v>97972</v>
      </c>
      <c r="T99" s="2">
        <f>86672+947</f>
        <v>87619</v>
      </c>
      <c r="U99" s="2">
        <f>103428+882</f>
        <v>104310</v>
      </c>
      <c r="AB99" s="2" t="s">
        <v>28</v>
      </c>
      <c r="AC99" s="2">
        <f>NPV(AC98,V103:FG103)+main!I5-main!I6</f>
        <v>2373426.4435886247</v>
      </c>
    </row>
    <row r="100" spans="1:163" x14ac:dyDescent="0.25">
      <c r="A100" s="2" t="s">
        <v>81</v>
      </c>
      <c r="I100" s="2">
        <v>-91</v>
      </c>
      <c r="J100" s="2">
        <v>-32000</v>
      </c>
      <c r="S100" s="2">
        <v>-6969</v>
      </c>
      <c r="T100" s="2">
        <v>-495</v>
      </c>
      <c r="U100" s="2">
        <v>-2931</v>
      </c>
      <c r="AB100" s="2" t="s">
        <v>1</v>
      </c>
      <c r="AC100" s="2">
        <f>AC99/main!I3</f>
        <v>193.74909743580611</v>
      </c>
    </row>
    <row r="101" spans="1:163" x14ac:dyDescent="0.25">
      <c r="A101" s="2" t="s">
        <v>82</v>
      </c>
      <c r="I101" s="2">
        <v>-167</v>
      </c>
      <c r="S101" s="2">
        <v>1589</v>
      </c>
      <c r="T101" s="2">
        <v>-1051</v>
      </c>
      <c r="U101" s="2">
        <v>-2667</v>
      </c>
      <c r="AB101" s="2" t="s">
        <v>31</v>
      </c>
      <c r="AC101" s="3">
        <f>AC100/main!I2-1</f>
        <v>0.24198139381926986</v>
      </c>
    </row>
    <row r="102" spans="1:163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S102" s="2">
        <f>S97</f>
        <v>-31485</v>
      </c>
      <c r="T102" s="2">
        <f t="shared" ref="T102:U102" si="105">T97</f>
        <v>-32251</v>
      </c>
      <c r="U102" s="2">
        <f t="shared" si="105"/>
        <v>-52535</v>
      </c>
      <c r="V102" s="2">
        <v>-75000</v>
      </c>
      <c r="W102" s="2">
        <f>V102*0.9</f>
        <v>-67500</v>
      </c>
      <c r="X102" s="2">
        <f t="shared" ref="X102:Z102" si="106">W102*0.9</f>
        <v>-60750</v>
      </c>
      <c r="Y102" s="2">
        <f t="shared" si="106"/>
        <v>-54675</v>
      </c>
      <c r="Z102" s="2">
        <f t="shared" si="106"/>
        <v>-49207.5</v>
      </c>
    </row>
    <row r="103" spans="1:163" x14ac:dyDescent="0.25">
      <c r="A103" s="5" t="s">
        <v>21</v>
      </c>
      <c r="B103" s="5">
        <f>B96+B102</f>
        <v>0</v>
      </c>
      <c r="C103" s="5">
        <f t="shared" ref="C103:K103" si="107">C96+C102</f>
        <v>39466</v>
      </c>
      <c r="D103" s="5">
        <f t="shared" si="107"/>
        <v>0</v>
      </c>
      <c r="E103" s="5">
        <f t="shared" si="107"/>
        <v>0</v>
      </c>
      <c r="F103" s="5">
        <f t="shared" si="107"/>
        <v>0</v>
      </c>
      <c r="G103" s="5">
        <f t="shared" si="107"/>
        <v>40386</v>
      </c>
      <c r="H103" s="5">
        <f t="shared" si="107"/>
        <v>0</v>
      </c>
      <c r="I103" s="5">
        <f t="shared" si="107"/>
        <v>24837</v>
      </c>
      <c r="J103" s="5">
        <f t="shared" si="107"/>
        <v>0</v>
      </c>
      <c r="K103" s="5">
        <f t="shared" si="107"/>
        <v>0</v>
      </c>
      <c r="L103" s="5"/>
      <c r="M103" s="5"/>
      <c r="N103" s="5"/>
      <c r="O103" s="5"/>
      <c r="P103" s="5"/>
      <c r="Q103" s="5"/>
      <c r="R103" s="5"/>
      <c r="S103" s="5">
        <f>S96+S102</f>
        <v>60010</v>
      </c>
      <c r="T103" s="5">
        <f>T96+T102</f>
        <v>69495</v>
      </c>
      <c r="U103" s="5">
        <f>U96+U102</f>
        <v>71244</v>
      </c>
      <c r="V103" s="5">
        <f>V96+V102</f>
        <v>62457.679382860981</v>
      </c>
      <c r="W103" s="5">
        <f t="shared" ref="W103:Z103" si="108">W96+W102</f>
        <v>89706.591028433759</v>
      </c>
      <c r="X103" s="5">
        <f t="shared" si="108"/>
        <v>118980.21790552087</v>
      </c>
      <c r="Y103" s="5">
        <f t="shared" si="108"/>
        <v>150762.48622732935</v>
      </c>
      <c r="Z103" s="5">
        <f t="shared" si="108"/>
        <v>185595.77932657179</v>
      </c>
      <c r="AA103" s="5">
        <f t="shared" ref="AA103:BF103" si="109">Z103*(1+$AC$97)</f>
        <v>187451.73711983752</v>
      </c>
      <c r="AB103" s="5">
        <f t="shared" si="109"/>
        <v>189326.25449103588</v>
      </c>
      <c r="AC103" s="5">
        <f t="shared" si="109"/>
        <v>191219.51703594625</v>
      </c>
      <c r="AD103" s="5">
        <f t="shared" si="109"/>
        <v>193131.7122063057</v>
      </c>
      <c r="AE103" s="5">
        <f t="shared" si="109"/>
        <v>195063.02932836875</v>
      </c>
      <c r="AF103" s="5">
        <f t="shared" si="109"/>
        <v>197013.65962165245</v>
      </c>
      <c r="AG103" s="5">
        <f t="shared" si="109"/>
        <v>198983.79621786898</v>
      </c>
      <c r="AH103" s="5">
        <f t="shared" si="109"/>
        <v>200973.63418004767</v>
      </c>
      <c r="AI103" s="5">
        <f t="shared" si="109"/>
        <v>202983.37052184815</v>
      </c>
      <c r="AJ103" s="5">
        <f t="shared" si="109"/>
        <v>205013.20422706663</v>
      </c>
      <c r="AK103" s="5">
        <f t="shared" si="109"/>
        <v>207063.33626933731</v>
      </c>
      <c r="AL103" s="5">
        <f t="shared" si="109"/>
        <v>209133.96963203067</v>
      </c>
      <c r="AM103" s="5">
        <f t="shared" si="109"/>
        <v>211225.30932835097</v>
      </c>
      <c r="AN103" s="5">
        <f t="shared" si="109"/>
        <v>213337.56242163447</v>
      </c>
      <c r="AO103" s="5">
        <f t="shared" si="109"/>
        <v>215470.93804585081</v>
      </c>
      <c r="AP103" s="5">
        <f t="shared" si="109"/>
        <v>217625.64742630933</v>
      </c>
      <c r="AQ103" s="5">
        <f t="shared" si="109"/>
        <v>219801.90390057242</v>
      </c>
      <c r="AR103" s="5">
        <f t="shared" si="109"/>
        <v>221999.92293957816</v>
      </c>
      <c r="AS103" s="5">
        <f t="shared" si="109"/>
        <v>224219.92216897395</v>
      </c>
      <c r="AT103" s="5">
        <f t="shared" si="109"/>
        <v>226462.1213906637</v>
      </c>
      <c r="AU103" s="5">
        <f t="shared" si="109"/>
        <v>228726.74260457035</v>
      </c>
      <c r="AV103" s="5">
        <f t="shared" si="109"/>
        <v>231014.01003061605</v>
      </c>
      <c r="AW103" s="5">
        <f t="shared" si="109"/>
        <v>233324.15013092221</v>
      </c>
      <c r="AX103" s="5">
        <f t="shared" si="109"/>
        <v>235657.39163223142</v>
      </c>
      <c r="AY103" s="5">
        <f t="shared" si="109"/>
        <v>238013.96554855374</v>
      </c>
      <c r="AZ103" s="5">
        <f t="shared" si="109"/>
        <v>240394.10520403928</v>
      </c>
      <c r="BA103" s="5">
        <f t="shared" si="109"/>
        <v>242798.04625607969</v>
      </c>
      <c r="BB103" s="5">
        <f t="shared" si="109"/>
        <v>245226.0267186405</v>
      </c>
      <c r="BC103" s="5">
        <f t="shared" si="109"/>
        <v>247678.28698582691</v>
      </c>
      <c r="BD103" s="5">
        <f t="shared" si="109"/>
        <v>250155.06985568517</v>
      </c>
      <c r="BE103" s="5">
        <f t="shared" si="109"/>
        <v>252656.62055424202</v>
      </c>
      <c r="BF103" s="5">
        <f t="shared" si="109"/>
        <v>255183.18675978444</v>
      </c>
      <c r="BG103" s="5">
        <f t="shared" ref="BG103:CL103" si="110">BF103*(1+$AC$97)</f>
        <v>257735.01862738229</v>
      </c>
      <c r="BH103" s="5">
        <f t="shared" si="110"/>
        <v>260312.36881365612</v>
      </c>
      <c r="BI103" s="5">
        <f t="shared" si="110"/>
        <v>262915.49250179267</v>
      </c>
      <c r="BJ103" s="5">
        <f t="shared" si="110"/>
        <v>265544.64742681058</v>
      </c>
      <c r="BK103" s="5">
        <f t="shared" si="110"/>
        <v>268200.09390107868</v>
      </c>
      <c r="BL103" s="5">
        <f t="shared" si="110"/>
        <v>270882.0948400895</v>
      </c>
      <c r="BM103" s="5">
        <f t="shared" si="110"/>
        <v>273590.91578849038</v>
      </c>
      <c r="BN103" s="5">
        <f t="shared" si="110"/>
        <v>276326.82494637527</v>
      </c>
      <c r="BO103" s="5">
        <f t="shared" si="110"/>
        <v>279090.09319583903</v>
      </c>
      <c r="BP103" s="5">
        <f t="shared" si="110"/>
        <v>281880.99412779743</v>
      </c>
      <c r="BQ103" s="5">
        <f t="shared" si="110"/>
        <v>284699.80406907538</v>
      </c>
      <c r="BR103" s="5">
        <f t="shared" si="110"/>
        <v>287546.80210976617</v>
      </c>
      <c r="BS103" s="5">
        <f t="shared" si="110"/>
        <v>290422.27013086382</v>
      </c>
      <c r="BT103" s="5">
        <f t="shared" si="110"/>
        <v>293326.49283217249</v>
      </c>
      <c r="BU103" s="5">
        <f t="shared" si="110"/>
        <v>296259.75776049419</v>
      </c>
      <c r="BV103" s="5">
        <f t="shared" si="110"/>
        <v>299222.35533809912</v>
      </c>
      <c r="BW103" s="5">
        <f t="shared" si="110"/>
        <v>302214.57889148011</v>
      </c>
      <c r="BX103" s="5">
        <f t="shared" si="110"/>
        <v>305236.72468039492</v>
      </c>
      <c r="BY103" s="5">
        <f t="shared" si="110"/>
        <v>308289.09192719887</v>
      </c>
      <c r="BZ103" s="5">
        <f t="shared" si="110"/>
        <v>311371.98284647084</v>
      </c>
      <c r="CA103" s="5">
        <f t="shared" si="110"/>
        <v>314485.70267493557</v>
      </c>
      <c r="CB103" s="5">
        <f t="shared" si="110"/>
        <v>317630.55970168492</v>
      </c>
      <c r="CC103" s="5">
        <f t="shared" si="110"/>
        <v>320806.8652987018</v>
      </c>
      <c r="CD103" s="5">
        <f t="shared" si="110"/>
        <v>324014.93395168881</v>
      </c>
      <c r="CE103" s="5">
        <f t="shared" si="110"/>
        <v>327255.08329120569</v>
      </c>
      <c r="CF103" s="5">
        <f t="shared" si="110"/>
        <v>330527.63412411773</v>
      </c>
      <c r="CG103" s="5">
        <f t="shared" si="110"/>
        <v>333832.91046535893</v>
      </c>
      <c r="CH103" s="5">
        <f t="shared" si="110"/>
        <v>337171.23957001255</v>
      </c>
      <c r="CI103" s="5">
        <f t="shared" si="110"/>
        <v>340542.95196571265</v>
      </c>
      <c r="CJ103" s="5">
        <f t="shared" si="110"/>
        <v>343948.38148536975</v>
      </c>
      <c r="CK103" s="5">
        <f t="shared" si="110"/>
        <v>347387.86530022346</v>
      </c>
      <c r="CL103" s="5">
        <f t="shared" si="110"/>
        <v>350861.74395322573</v>
      </c>
      <c r="CM103" s="5">
        <f t="shared" ref="CM103:DR103" si="111">CL103*(1+$AC$97)</f>
        <v>354370.36139275797</v>
      </c>
      <c r="CN103" s="5">
        <f t="shared" si="111"/>
        <v>357914.06500668556</v>
      </c>
      <c r="CO103" s="5">
        <f t="shared" si="111"/>
        <v>361493.2056567524</v>
      </c>
      <c r="CP103" s="5">
        <f t="shared" si="111"/>
        <v>365108.13771331991</v>
      </c>
      <c r="CQ103" s="5">
        <f t="shared" si="111"/>
        <v>368759.21909045312</v>
      </c>
      <c r="CR103" s="5">
        <f t="shared" si="111"/>
        <v>372446.81128135766</v>
      </c>
      <c r="CS103" s="5">
        <f t="shared" si="111"/>
        <v>376171.27939417126</v>
      </c>
      <c r="CT103" s="5">
        <f t="shared" si="111"/>
        <v>379932.99218811298</v>
      </c>
      <c r="CU103" s="5">
        <f t="shared" si="111"/>
        <v>383732.32210999413</v>
      </c>
      <c r="CV103" s="5">
        <f t="shared" si="111"/>
        <v>387569.6453310941</v>
      </c>
      <c r="CW103" s="5">
        <f t="shared" si="111"/>
        <v>391445.34178440506</v>
      </c>
      <c r="CX103" s="5">
        <f t="shared" si="111"/>
        <v>395359.79520224914</v>
      </c>
      <c r="CY103" s="5">
        <f t="shared" si="111"/>
        <v>399313.39315427165</v>
      </c>
      <c r="CZ103" s="5">
        <f t="shared" si="111"/>
        <v>403306.52708581439</v>
      </c>
      <c r="DA103" s="5">
        <f t="shared" si="111"/>
        <v>407339.59235667257</v>
      </c>
      <c r="DB103" s="5">
        <f t="shared" si="111"/>
        <v>411412.98828023928</v>
      </c>
      <c r="DC103" s="5">
        <f t="shared" si="111"/>
        <v>415527.11816304165</v>
      </c>
      <c r="DD103" s="5">
        <f t="shared" si="111"/>
        <v>419682.38934467209</v>
      </c>
      <c r="DE103" s="5">
        <f t="shared" si="111"/>
        <v>423879.2132381188</v>
      </c>
      <c r="DF103" s="5">
        <f t="shared" si="111"/>
        <v>428118.00537049997</v>
      </c>
      <c r="DG103" s="5">
        <f t="shared" si="111"/>
        <v>432399.18542420497</v>
      </c>
      <c r="DH103" s="5">
        <f t="shared" si="111"/>
        <v>436723.17727844702</v>
      </c>
      <c r="DI103" s="5">
        <f t="shared" si="111"/>
        <v>441090.40905123152</v>
      </c>
      <c r="DJ103" s="5">
        <f t="shared" si="111"/>
        <v>445501.31314174383</v>
      </c>
      <c r="DK103" s="5">
        <f t="shared" si="111"/>
        <v>449956.32627316128</v>
      </c>
      <c r="DL103" s="5">
        <f t="shared" si="111"/>
        <v>454455.88953589287</v>
      </c>
      <c r="DM103" s="5">
        <f t="shared" si="111"/>
        <v>459000.4484312518</v>
      </c>
      <c r="DN103" s="5">
        <f t="shared" si="111"/>
        <v>463590.45291556435</v>
      </c>
      <c r="DO103" s="5">
        <f t="shared" si="111"/>
        <v>468226.35744471999</v>
      </c>
      <c r="DP103" s="5">
        <f t="shared" si="111"/>
        <v>472908.62101916719</v>
      </c>
      <c r="DQ103" s="5">
        <f t="shared" si="111"/>
        <v>477637.70722935884</v>
      </c>
      <c r="DR103" s="5">
        <f t="shared" si="111"/>
        <v>482414.08430165244</v>
      </c>
      <c r="DS103" s="5">
        <f t="shared" ref="DS103:EX103" si="112">DR103*(1+$AC$97)</f>
        <v>487238.22514466895</v>
      </c>
      <c r="DT103" s="5">
        <f t="shared" si="112"/>
        <v>492110.60739611567</v>
      </c>
      <c r="DU103" s="5">
        <f t="shared" si="112"/>
        <v>497031.71347007685</v>
      </c>
      <c r="DV103" s="5">
        <f t="shared" si="112"/>
        <v>502002.03060477762</v>
      </c>
      <c r="DW103" s="5">
        <f t="shared" si="112"/>
        <v>507022.05091082543</v>
      </c>
      <c r="DX103" s="5">
        <f t="shared" si="112"/>
        <v>512092.27141993371</v>
      </c>
      <c r="DY103" s="5">
        <f t="shared" si="112"/>
        <v>517213.19413413305</v>
      </c>
      <c r="DZ103" s="5">
        <f t="shared" si="112"/>
        <v>522385.32607547438</v>
      </c>
      <c r="EA103" s="5">
        <f t="shared" si="112"/>
        <v>527609.17933622911</v>
      </c>
      <c r="EB103" s="5">
        <f t="shared" si="112"/>
        <v>532885.27112959139</v>
      </c>
      <c r="EC103" s="5">
        <f t="shared" si="112"/>
        <v>538214.12384088733</v>
      </c>
      <c r="ED103" s="5">
        <f t="shared" si="112"/>
        <v>543596.26507929619</v>
      </c>
      <c r="EE103" s="5">
        <f t="shared" si="112"/>
        <v>549032.22773008922</v>
      </c>
      <c r="EF103" s="5">
        <f t="shared" si="112"/>
        <v>554522.55000739009</v>
      </c>
      <c r="EG103" s="5">
        <f t="shared" si="112"/>
        <v>560067.77550746396</v>
      </c>
      <c r="EH103" s="5">
        <f t="shared" si="112"/>
        <v>565668.45326253865</v>
      </c>
      <c r="EI103" s="5">
        <f t="shared" si="112"/>
        <v>571325.13779516402</v>
      </c>
      <c r="EJ103" s="5">
        <f t="shared" si="112"/>
        <v>577038.38917311572</v>
      </c>
      <c r="EK103" s="5">
        <f t="shared" si="112"/>
        <v>582808.77306484687</v>
      </c>
      <c r="EL103" s="5">
        <f t="shared" si="112"/>
        <v>588636.86079549533</v>
      </c>
      <c r="EM103" s="5">
        <f t="shared" si="112"/>
        <v>594523.22940345027</v>
      </c>
      <c r="EN103" s="5">
        <f t="shared" si="112"/>
        <v>600468.46169748483</v>
      </c>
      <c r="EO103" s="5">
        <f t="shared" si="112"/>
        <v>606473.14631445974</v>
      </c>
      <c r="EP103" s="5">
        <f t="shared" si="112"/>
        <v>612537.87777760439</v>
      </c>
      <c r="EQ103" s="5">
        <f t="shared" si="112"/>
        <v>618663.25655538042</v>
      </c>
      <c r="ER103" s="5">
        <f t="shared" si="112"/>
        <v>624849.88912093418</v>
      </c>
      <c r="ES103" s="5">
        <f t="shared" si="112"/>
        <v>631098.38801214355</v>
      </c>
      <c r="ET103" s="5">
        <f t="shared" si="112"/>
        <v>637409.37189226504</v>
      </c>
      <c r="EU103" s="5">
        <f t="shared" si="112"/>
        <v>643783.46561118774</v>
      </c>
      <c r="EV103" s="5">
        <f t="shared" si="112"/>
        <v>650221.30026729964</v>
      </c>
      <c r="EW103" s="5">
        <f t="shared" si="112"/>
        <v>656723.51326997264</v>
      </c>
      <c r="EX103" s="5">
        <f t="shared" si="112"/>
        <v>663290.74840267235</v>
      </c>
      <c r="EY103" s="5">
        <f t="shared" ref="EY103:FG103" si="113">EX103*(1+$AC$97)</f>
        <v>669923.6558866991</v>
      </c>
      <c r="EZ103" s="5">
        <f t="shared" si="113"/>
        <v>676622.89244556613</v>
      </c>
      <c r="FA103" s="5">
        <f t="shared" si="113"/>
        <v>683389.12137002184</v>
      </c>
      <c r="FB103" s="5">
        <f t="shared" si="113"/>
        <v>690223.01258372201</v>
      </c>
      <c r="FC103" s="5">
        <f t="shared" si="113"/>
        <v>697125.24270955927</v>
      </c>
      <c r="FD103" s="5">
        <f t="shared" si="113"/>
        <v>704096.49513665482</v>
      </c>
      <c r="FE103" s="5">
        <f t="shared" si="113"/>
        <v>711137.46008802135</v>
      </c>
      <c r="FF103" s="5">
        <f t="shared" si="113"/>
        <v>718248.83468890155</v>
      </c>
      <c r="FG103" s="5">
        <f t="shared" si="113"/>
        <v>725431.32303579058</v>
      </c>
    </row>
    <row r="104" spans="1:163" x14ac:dyDescent="0.25">
      <c r="S104" s="3">
        <f t="shared" ref="S104:Z104" si="114">S103/S96</f>
        <v>0.65588283512760259</v>
      </c>
      <c r="T104" s="3">
        <f t="shared" si="114"/>
        <v>0.6830243940793741</v>
      </c>
      <c r="U104" s="3">
        <f t="shared" si="114"/>
        <v>0.57557420887226429</v>
      </c>
      <c r="V104" s="3">
        <f t="shared" si="114"/>
        <v>0.45437751941743143</v>
      </c>
      <c r="W104" s="3">
        <f t="shared" si="114"/>
        <v>0.57062868955798829</v>
      </c>
      <c r="X104" s="3">
        <f t="shared" si="114"/>
        <v>0.66199339928506307</v>
      </c>
      <c r="Y104" s="3">
        <f t="shared" si="114"/>
        <v>0.73386064537657592</v>
      </c>
      <c r="Z104" s="3">
        <f t="shared" si="114"/>
        <v>0.79043095078940251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2025-04-24T20:17:56Z</dcterms:modified>
</cp:coreProperties>
</file>