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DAB1FE7-5C76-48D6-AE47-D60A5C62F4E7}" xr6:coauthVersionLast="47" xr6:coauthVersionMax="47" xr10:uidLastSave="{00000000-0000-0000-0000-000000000000}"/>
  <bookViews>
    <workbookView xWindow="14295" yWindow="0" windowWidth="14610" windowHeight="15585" activeTab="1" xr2:uid="{4F728EBC-4CE9-4C16-9925-CD4798977D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2" l="1"/>
  <c r="L29" i="2"/>
  <c r="M29" i="2"/>
  <c r="N29" i="2" s="1"/>
  <c r="O29" i="2" s="1"/>
  <c r="K29" i="2"/>
  <c r="L33" i="2"/>
  <c r="M33" i="2"/>
  <c r="N33" i="2"/>
  <c r="O33" i="2"/>
  <c r="K33" i="2"/>
  <c r="L35" i="2"/>
  <c r="M35" i="2"/>
  <c r="N35" i="2" s="1"/>
  <c r="O35" i="2" s="1"/>
  <c r="K35" i="2"/>
  <c r="I36" i="2"/>
  <c r="J36" i="2"/>
  <c r="J31" i="2" s="1"/>
  <c r="H36" i="2"/>
  <c r="H31" i="2" s="1"/>
  <c r="K2" i="2"/>
  <c r="L2" i="2" s="1"/>
  <c r="M2" i="2" s="1"/>
  <c r="N2" i="2" s="1"/>
  <c r="O2" i="2" s="1"/>
  <c r="K3" i="2"/>
  <c r="K27" i="2" s="1"/>
  <c r="J43" i="2"/>
  <c r="J40" i="2"/>
  <c r="J38" i="2" s="1"/>
  <c r="K14" i="2" s="1"/>
  <c r="I27" i="2"/>
  <c r="I26" i="2"/>
  <c r="J26" i="2"/>
  <c r="J27" i="2"/>
  <c r="I12" i="2"/>
  <c r="J12" i="2"/>
  <c r="H12" i="2"/>
  <c r="I4" i="2"/>
  <c r="I33" i="2" s="1"/>
  <c r="J4" i="2"/>
  <c r="J29" i="2" s="1"/>
  <c r="H4" i="2"/>
  <c r="H6" i="2" s="1"/>
  <c r="C4" i="2"/>
  <c r="D4" i="2"/>
  <c r="E4" i="2"/>
  <c r="F4" i="2"/>
  <c r="B4" i="2"/>
  <c r="I1" i="2"/>
  <c r="J1" i="2" s="1"/>
  <c r="K1" i="2" s="1"/>
  <c r="L1" i="2" s="1"/>
  <c r="M1" i="2" s="1"/>
  <c r="N1" i="2" s="1"/>
  <c r="O1" i="2" s="1"/>
  <c r="D7" i="1"/>
  <c r="D6" i="1"/>
  <c r="D5" i="1"/>
  <c r="D4" i="1"/>
  <c r="I29" i="2" l="1"/>
  <c r="I31" i="2"/>
  <c r="H33" i="2"/>
  <c r="L3" i="2"/>
  <c r="M3" i="2" s="1"/>
  <c r="N3" i="2" s="1"/>
  <c r="O3" i="2" s="1"/>
  <c r="J33" i="2"/>
  <c r="H29" i="2"/>
  <c r="K4" i="2"/>
  <c r="J22" i="2"/>
  <c r="I22" i="2"/>
  <c r="L27" i="2"/>
  <c r="L26" i="2"/>
  <c r="L4" i="2"/>
  <c r="K26" i="2"/>
  <c r="J6" i="2"/>
  <c r="J13" i="2" s="1"/>
  <c r="J16" i="2" s="1"/>
  <c r="I6" i="2"/>
  <c r="I13" i="2" s="1"/>
  <c r="I16" i="2" s="1"/>
  <c r="M4" i="2"/>
  <c r="M5" i="2" s="1"/>
  <c r="H13" i="2"/>
  <c r="H16" i="2" s="1"/>
  <c r="M27" i="2" l="1"/>
  <c r="K34" i="2"/>
  <c r="K36" i="2" s="1"/>
  <c r="L5" i="2"/>
  <c r="L6" i="2" s="1"/>
  <c r="K22" i="2"/>
  <c r="K5" i="2"/>
  <c r="K6" i="2" s="1"/>
  <c r="L22" i="2"/>
  <c r="M26" i="2"/>
  <c r="N27" i="2"/>
  <c r="N4" i="2"/>
  <c r="N5" i="2" s="1"/>
  <c r="M22" i="2"/>
  <c r="M6" i="2"/>
  <c r="J18" i="2"/>
  <c r="J24" i="2"/>
  <c r="I18" i="2"/>
  <c r="I24" i="2"/>
  <c r="H18" i="2"/>
  <c r="H24" i="2"/>
  <c r="K31" i="2" l="1"/>
  <c r="L34" i="2"/>
  <c r="L36" i="2" s="1"/>
  <c r="L31" i="2" s="1"/>
  <c r="K7" i="2"/>
  <c r="K11" i="2"/>
  <c r="L11" i="2" s="1"/>
  <c r="M11" i="2" s="1"/>
  <c r="K9" i="2"/>
  <c r="L9" i="2" s="1"/>
  <c r="M9" i="2" s="1"/>
  <c r="K8" i="2"/>
  <c r="L8" i="2" s="1"/>
  <c r="M8" i="2" s="1"/>
  <c r="K10" i="2"/>
  <c r="L10" i="2" s="1"/>
  <c r="M10" i="2" s="1"/>
  <c r="N26" i="2"/>
  <c r="O26" i="2"/>
  <c r="N6" i="2"/>
  <c r="N22" i="2"/>
  <c r="N11" i="2" s="1"/>
  <c r="O4" i="2"/>
  <c r="O5" i="2" s="1"/>
  <c r="O27" i="2"/>
  <c r="M34" i="2" l="1"/>
  <c r="M36" i="2" s="1"/>
  <c r="M31" i="2" s="1"/>
  <c r="L7" i="2"/>
  <c r="K12" i="2"/>
  <c r="K13" i="2" s="1"/>
  <c r="K16" i="2" s="1"/>
  <c r="K17" i="2" s="1"/>
  <c r="K18" i="2" s="1"/>
  <c r="K38" i="2" s="1"/>
  <c r="L14" i="2" s="1"/>
  <c r="O22" i="2"/>
  <c r="O11" i="2" s="1"/>
  <c r="O6" i="2"/>
  <c r="N10" i="2"/>
  <c r="N9" i="2"/>
  <c r="N8" i="2"/>
  <c r="O34" i="2" l="1"/>
  <c r="O36" i="2" s="1"/>
  <c r="N34" i="2"/>
  <c r="N36" i="2" s="1"/>
  <c r="N31" i="2" s="1"/>
  <c r="L12" i="2"/>
  <c r="L13" i="2" s="1"/>
  <c r="L16" i="2" s="1"/>
  <c r="L17" i="2" s="1"/>
  <c r="L18" i="2" s="1"/>
  <c r="M7" i="2"/>
  <c r="O10" i="2"/>
  <c r="O8" i="2"/>
  <c r="O9" i="2"/>
  <c r="P36" i="2" l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O31" i="2"/>
  <c r="L38" i="2"/>
  <c r="M14" i="2" s="1"/>
  <c r="N7" i="2"/>
  <c r="M12" i="2"/>
  <c r="M13" i="2" s="1"/>
  <c r="M16" i="2" s="1"/>
  <c r="M17" i="2" s="1"/>
  <c r="M18" i="2" s="1"/>
  <c r="M38" i="2" l="1"/>
  <c r="N14" i="2" s="1"/>
  <c r="O7" i="2"/>
  <c r="O12" i="2" s="1"/>
  <c r="O13" i="2" s="1"/>
  <c r="N12" i="2"/>
  <c r="N13" i="2" s="1"/>
  <c r="N16" i="2" l="1"/>
  <c r="N17" i="2" s="1"/>
  <c r="N18" i="2" s="1"/>
  <c r="N38" i="2" s="1"/>
  <c r="O14" i="2" s="1"/>
  <c r="O16" i="2" s="1"/>
  <c r="O17" i="2" s="1"/>
  <c r="O18" i="2" s="1"/>
  <c r="O38" i="2" l="1"/>
  <c r="P18" i="2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R24" i="2" l="1"/>
  <c r="R25" i="2" s="1"/>
</calcChain>
</file>

<file path=xl/sharedStrings.xml><?xml version="1.0" encoding="utf-8"?>
<sst xmlns="http://schemas.openxmlformats.org/spreadsheetml/2006/main" count="53" uniqueCount="48">
  <si>
    <t>AMZN</t>
  </si>
  <si>
    <t>Price</t>
  </si>
  <si>
    <t>Shares</t>
  </si>
  <si>
    <t>MC</t>
  </si>
  <si>
    <t>Cash</t>
  </si>
  <si>
    <t>Debt</t>
  </si>
  <si>
    <t>EV</t>
  </si>
  <si>
    <t>Product Sales</t>
  </si>
  <si>
    <t>Service Sales</t>
  </si>
  <si>
    <t>Revenue</t>
  </si>
  <si>
    <t>COGS</t>
  </si>
  <si>
    <t>Fulfillment</t>
  </si>
  <si>
    <t>Tech &amp; Infrastructure</t>
  </si>
  <si>
    <t>S&amp;M</t>
  </si>
  <si>
    <t>G&amp;A</t>
  </si>
  <si>
    <t>Other OPEX</t>
  </si>
  <si>
    <t>OPEX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</si>
  <si>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</si>
  <si>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</si>
  <si>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</si>
  <si>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</si>
  <si>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</si>
  <si>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</si>
  <si>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</si>
  <si>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Growth y/y</t>
  </si>
  <si>
    <t>Revenue Growth q/q</t>
  </si>
  <si>
    <t>Tax Rate</t>
  </si>
  <si>
    <t>Gross Margin</t>
  </si>
  <si>
    <t>Operating Margin</t>
  </si>
  <si>
    <t>FCF Margin</t>
  </si>
  <si>
    <t>FCF</t>
  </si>
  <si>
    <t>CFFO</t>
  </si>
  <si>
    <t>CX</t>
  </si>
  <si>
    <t>Net Cash</t>
  </si>
  <si>
    <t>Q124</t>
  </si>
  <si>
    <t>Q224</t>
  </si>
  <si>
    <t>Q324</t>
  </si>
  <si>
    <t>Q424</t>
  </si>
  <si>
    <t>Q125</t>
  </si>
  <si>
    <t>Gross Profit</t>
  </si>
  <si>
    <t>Product Growth</t>
  </si>
  <si>
    <t>Service Growth</t>
  </si>
  <si>
    <t xml:space="preserve">Interest 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</si>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</sst>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Font="1"/>
    <xf numFmtId="9" fontId="0" fillId="0" borderId="0" xfId="0" applyNumberFormat="1" applyFont="1"/>
    <xf numFmtId="10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38100</xdr:rowOff>
    </xdr:from>
    <xdr:to>
      <xdr:col>10</xdr:col>
      <xdr:colOff>19050</xdr:colOff>
      <xdr:row>41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2143D5-FAB8-3057-8D1A-640039DB223C}"/>
            </a:ext>
          </a:extLst>
        </xdr:cNvPr>
        <xdr:cNvCxnSpPr/>
      </xdr:nvCxnSpPr>
      <xdr:spPr>
        <a:xfrm>
          <a:off x="6743700" y="38100"/>
          <a:ext cx="28575" cy="6781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41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6486849-3A1A-4DC0-A27B-5D9A7B1EBC04}"/>
            </a:ext>
          </a:extLst>
        </xdr:cNvPr>
        <xdr:cNvCxnSpPr/>
      </xdr:nvCxnSpPr>
      <xdr:spPr>
        <a:xfrm>
          <a:off x="3705225" y="0"/>
          <a:ext cx="28575" cy="6781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4555-45DD-4BC6-9783-861C7BB88667}">
  <dimension ref="A1:D7"/>
  <sheetViews>
    <sheetView zoomScale="280" zoomScaleNormal="280" workbookViewId="0">
      <selection activeCell="D6" sqref="D6"/>
    </sheetView>
  </sheetViews>
  <sheetFormatPr defaultRowHeight="15" x14ac:dyDescent="0.25"/>
  <cols>
    <col min="4" max="4" width="10" customWidth="1"/>
  </cols>
  <sheetData>
    <row r="1" spans="1:4" x14ac:dyDescent="0.25">
      <c r="A1" s="1" t="s">
        <v>0</v>
      </c>
    </row>
    <row r="2" spans="1:4" x14ac:dyDescent="0.25">
      <c r="C2" t="s">
        <v>1</v>
      </c>
      <c r="D2" s="2">
        <v>190</v>
      </c>
    </row>
    <row r="3" spans="1:4" x14ac:dyDescent="0.25">
      <c r="C3" t="s">
        <v>2</v>
      </c>
      <c r="D3" s="2">
        <v>10597.7</v>
      </c>
    </row>
    <row r="4" spans="1:4" x14ac:dyDescent="0.25">
      <c r="C4" t="s">
        <v>3</v>
      </c>
      <c r="D4" s="2">
        <f>D2*D3</f>
        <v>2013563.0000000002</v>
      </c>
    </row>
    <row r="5" spans="1:4" x14ac:dyDescent="0.25">
      <c r="C5" t="s">
        <v>4</v>
      </c>
      <c r="D5" s="2">
        <f>73387+13393</f>
        <v>86780</v>
      </c>
    </row>
    <row r="6" spans="1:4" x14ac:dyDescent="0.25">
      <c r="C6" t="s">
        <v>5</v>
      </c>
      <c r="D6" s="2">
        <f>58314+25451+77297</f>
        <v>161062</v>
      </c>
    </row>
    <row r="7" spans="1:4" x14ac:dyDescent="0.25">
      <c r="C7" t="s">
        <v>6</v>
      </c>
      <c r="D7" s="2">
        <f>D4+D6-D5</f>
        <v>2087845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A07-7D2E-434E-9B98-1EBA1E113FE8}">
  <dimension ref="A1:DD44"/>
  <sheetViews>
    <sheetView tabSelected="1" workbookViewId="0">
      <pane xSplit="1" ySplit="1" topLeftCell="I4" activePane="bottomRight" state="frozen"/>
      <selection pane="topRight" activeCell="B1" sqref="B1"/>
      <selection pane="bottomLeft" activeCell="A2" sqref="A2"/>
      <selection pane="bottomRight" activeCell="R23" sqref="R23"/>
    </sheetView>
  </sheetViews>
  <sheetFormatPr defaultRowHeight="15" x14ac:dyDescent="0.25"/>
  <cols>
    <col min="1" max="1" width="19" style="2" customWidth="1"/>
    <col min="2" max="17" width="9.140625" style="2"/>
    <col min="18" max="18" width="11.85546875" style="2" bestFit="1" customWidth="1"/>
    <col min="19" max="16384" width="9.140625" style="2"/>
  </cols>
  <sheetData>
    <row r="1" spans="1:15" x14ac:dyDescent="0.25"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H1" s="4">
        <v>2022</v>
      </c>
      <c r="I1" s="4">
        <f>H1+1</f>
        <v>2023</v>
      </c>
      <c r="J1" s="4">
        <f t="shared" ref="J1:O1" si="0">I1+1</f>
        <v>2024</v>
      </c>
      <c r="K1" s="4">
        <f t="shared" si="0"/>
        <v>2025</v>
      </c>
      <c r="L1" s="4">
        <f t="shared" si="0"/>
        <v>2026</v>
      </c>
      <c r="M1" s="4">
        <f t="shared" si="0"/>
        <v>2027</v>
      </c>
      <c r="N1" s="4">
        <f t="shared" si="0"/>
        <v>2028</v>
      </c>
      <c r="O1" s="4">
        <f t="shared" si="0"/>
        <v>2029</v>
      </c>
    </row>
    <row r="2" spans="1:15" x14ac:dyDescent="0.25">
      <c r="A2" s="2" t="s">
        <v>7</v>
      </c>
      <c r="H2" s="2">
        <v>242901</v>
      </c>
      <c r="I2" s="2">
        <v>255887</v>
      </c>
      <c r="J2" s="2">
        <v>272311</v>
      </c>
      <c r="K2" s="2">
        <f>J2*1.03</f>
        <v>280480.33</v>
      </c>
      <c r="L2" s="2">
        <f t="shared" ref="L2:O2" si="1">K2*1.03</f>
        <v>288894.73990000004</v>
      </c>
      <c r="M2" s="2">
        <f t="shared" si="1"/>
        <v>297561.58209700003</v>
      </c>
      <c r="N2" s="2">
        <f t="shared" si="1"/>
        <v>306488.42955991003</v>
      </c>
      <c r="O2" s="2">
        <f t="shared" si="1"/>
        <v>315683.08244670735</v>
      </c>
    </row>
    <row r="3" spans="1:15" x14ac:dyDescent="0.25">
      <c r="A3" s="2" t="s">
        <v>8</v>
      </c>
      <c r="H3" s="2">
        <v>271082</v>
      </c>
      <c r="I3" s="2">
        <v>318898</v>
      </c>
      <c r="J3" s="2">
        <v>365648</v>
      </c>
      <c r="K3" s="2">
        <f>J3*1.12</f>
        <v>409525.76000000007</v>
      </c>
      <c r="L3" s="2">
        <f t="shared" ref="L3:O3" si="2">K3*1.12</f>
        <v>458668.85120000009</v>
      </c>
      <c r="M3" s="2">
        <f t="shared" si="2"/>
        <v>513709.11334400013</v>
      </c>
      <c r="N3" s="2">
        <f t="shared" si="2"/>
        <v>575354.2069452802</v>
      </c>
      <c r="O3" s="2">
        <f t="shared" si="2"/>
        <v>644396.71177871386</v>
      </c>
    </row>
    <row r="4" spans="1:15" s="3" customFormat="1" x14ac:dyDescent="0.25">
      <c r="A4" s="3" t="s">
        <v>9</v>
      </c>
      <c r="B4" s="3">
        <f>SUM(B2:B3)</f>
        <v>0</v>
      </c>
      <c r="C4" s="3">
        <f t="shared" ref="C4:H4" si="3">SUM(C2:C3)</f>
        <v>0</v>
      </c>
      <c r="D4" s="3">
        <f t="shared" si="3"/>
        <v>0</v>
      </c>
      <c r="E4" s="3">
        <f t="shared" si="3"/>
        <v>0</v>
      </c>
      <c r="F4" s="3">
        <f t="shared" si="3"/>
        <v>0</v>
      </c>
      <c r="H4" s="3">
        <f t="shared" si="3"/>
        <v>513983</v>
      </c>
      <c r="I4" s="3">
        <f t="shared" ref="I4" si="4">SUM(I2:I3)</f>
        <v>574785</v>
      </c>
      <c r="J4" s="3">
        <f t="shared" ref="J4" si="5">SUM(J2:J3)</f>
        <v>637959</v>
      </c>
      <c r="K4" s="3">
        <f t="shared" ref="K4" si="6">SUM(K2:K3)</f>
        <v>690006.09000000008</v>
      </c>
      <c r="L4" s="3">
        <f t="shared" ref="L4" si="7">SUM(L2:L3)</f>
        <v>747563.59110000008</v>
      </c>
      <c r="M4" s="3">
        <f t="shared" ref="M4" si="8">SUM(M2:M3)</f>
        <v>811270.69544100016</v>
      </c>
      <c r="N4" s="3">
        <f t="shared" ref="N4" si="9">SUM(N2:N3)</f>
        <v>881842.63650519028</v>
      </c>
      <c r="O4" s="3">
        <f t="shared" ref="O4" si="10">SUM(O2:O3)</f>
        <v>960079.79422542127</v>
      </c>
    </row>
    <row r="5" spans="1:15" x14ac:dyDescent="0.25">
      <c r="A5" s="2" t="s">
        <v>10</v>
      </c>
      <c r="H5" s="2">
        <v>288831</v>
      </c>
      <c r="I5" s="2">
        <v>304739</v>
      </c>
      <c r="J5" s="2">
        <v>326288</v>
      </c>
      <c r="K5" s="2">
        <f>K4*(1-K29)</f>
        <v>330040.13413794868</v>
      </c>
      <c r="L5" s="2">
        <f t="shared" ref="L5:O5" si="11">L4*(1-L29)</f>
        <v>349770.88250124146</v>
      </c>
      <c r="M5" s="2">
        <f t="shared" si="11"/>
        <v>370944.38392435643</v>
      </c>
      <c r="N5" s="2">
        <f t="shared" si="11"/>
        <v>393640.00820175541</v>
      </c>
      <c r="O5" s="2">
        <f t="shared" si="11"/>
        <v>417933.46481339907</v>
      </c>
    </row>
    <row r="6" spans="1:15" x14ac:dyDescent="0.25">
      <c r="A6" s="2" t="s">
        <v>39</v>
      </c>
      <c r="H6" s="2">
        <f>H4-H5</f>
        <v>225152</v>
      </c>
      <c r="I6" s="2">
        <f t="shared" ref="I6:O6" si="12">I4-I5</f>
        <v>270046</v>
      </c>
      <c r="J6" s="2">
        <f t="shared" si="12"/>
        <v>311671</v>
      </c>
      <c r="K6" s="2">
        <f t="shared" si="12"/>
        <v>359965.9558620514</v>
      </c>
      <c r="L6" s="2">
        <f t="shared" si="12"/>
        <v>397792.70859875862</v>
      </c>
      <c r="M6" s="2">
        <f t="shared" si="12"/>
        <v>440326.31151664373</v>
      </c>
      <c r="N6" s="2">
        <f t="shared" si="12"/>
        <v>488202.62830343487</v>
      </c>
      <c r="O6" s="2">
        <f t="shared" si="12"/>
        <v>542146.32941202214</v>
      </c>
    </row>
    <row r="7" spans="1:15" x14ac:dyDescent="0.25">
      <c r="A7" s="2" t="s">
        <v>11</v>
      </c>
      <c r="H7" s="2">
        <v>84299</v>
      </c>
      <c r="I7" s="2">
        <v>90619</v>
      </c>
      <c r="J7" s="2">
        <v>98505</v>
      </c>
      <c r="K7" s="2">
        <f>J7+(1*K22)</f>
        <v>98505.08158375381</v>
      </c>
      <c r="L7" s="2">
        <f t="shared" ref="L7:O7" si="13">K7+(1*L22)</f>
        <v>98505.164999685832</v>
      </c>
      <c r="M7" s="2">
        <f t="shared" si="13"/>
        <v>98505.250219331487</v>
      </c>
      <c r="N7" s="2">
        <f t="shared" si="13"/>
        <v>98505.337208719196</v>
      </c>
      <c r="O7" s="2">
        <f t="shared" si="13"/>
        <v>98505.425928808792</v>
      </c>
    </row>
    <row r="8" spans="1:15" x14ac:dyDescent="0.25">
      <c r="A8" s="2" t="s">
        <v>12</v>
      </c>
      <c r="H8" s="2">
        <v>73213</v>
      </c>
      <c r="I8" s="2">
        <v>85622</v>
      </c>
      <c r="J8" s="2">
        <v>88544</v>
      </c>
      <c r="K8" s="2">
        <f>J8+(1*K22)</f>
        <v>88544.08158375381</v>
      </c>
      <c r="L8" s="2">
        <f t="shared" ref="L8:O8" si="14">K8+(1*L22)</f>
        <v>88544.164999685832</v>
      </c>
      <c r="M8" s="2">
        <f t="shared" si="14"/>
        <v>88544.250219331487</v>
      </c>
      <c r="N8" s="2">
        <f t="shared" si="14"/>
        <v>88544.337208719196</v>
      </c>
      <c r="O8" s="2">
        <f t="shared" si="14"/>
        <v>88544.425928808792</v>
      </c>
    </row>
    <row r="9" spans="1:15" x14ac:dyDescent="0.25">
      <c r="A9" s="2" t="s">
        <v>13</v>
      </c>
      <c r="H9" s="2">
        <v>42238</v>
      </c>
      <c r="I9" s="2">
        <v>44370</v>
      </c>
      <c r="J9" s="2">
        <v>43907</v>
      </c>
      <c r="K9" s="2">
        <f>J9+(1*K22)</f>
        <v>43907.081583753818</v>
      </c>
      <c r="L9" s="2">
        <f t="shared" ref="L9:O9" si="15">K9+(1*L22)</f>
        <v>43907.16499968584</v>
      </c>
      <c r="M9" s="2">
        <f t="shared" si="15"/>
        <v>43907.250219331501</v>
      </c>
      <c r="N9" s="2">
        <f t="shared" si="15"/>
        <v>43907.337208719211</v>
      </c>
      <c r="O9" s="2">
        <f t="shared" si="15"/>
        <v>43907.425928808807</v>
      </c>
    </row>
    <row r="10" spans="1:15" x14ac:dyDescent="0.25">
      <c r="A10" s="2" t="s">
        <v>14</v>
      </c>
      <c r="H10" s="2">
        <v>11891</v>
      </c>
      <c r="I10" s="2">
        <v>11816</v>
      </c>
      <c r="J10" s="2">
        <v>11359</v>
      </c>
      <c r="K10" s="2">
        <f>J10+(1*K22)</f>
        <v>11359.081583753816</v>
      </c>
      <c r="L10" s="2">
        <f t="shared" ref="L10:O10" si="16">K10+(1*L22)</f>
        <v>11359.16499968584</v>
      </c>
      <c r="M10" s="2">
        <f t="shared" si="16"/>
        <v>11359.250219331498</v>
      </c>
      <c r="N10" s="2">
        <f t="shared" si="16"/>
        <v>11359.337208719209</v>
      </c>
      <c r="O10" s="2">
        <f t="shared" si="16"/>
        <v>11359.425928808805</v>
      </c>
    </row>
    <row r="11" spans="1:15" x14ac:dyDescent="0.25">
      <c r="A11" s="2" t="s">
        <v>15</v>
      </c>
      <c r="H11" s="2">
        <v>1263</v>
      </c>
      <c r="I11" s="2">
        <v>767</v>
      </c>
      <c r="J11" s="2">
        <v>763</v>
      </c>
      <c r="K11" s="2">
        <f>J11+(1*K22)</f>
        <v>763.08158375381493</v>
      </c>
      <c r="L11" s="2">
        <f t="shared" ref="L11:O11" si="17">K11+(1*L22)</f>
        <v>763.16499968583958</v>
      </c>
      <c r="M11" s="2">
        <f t="shared" si="17"/>
        <v>763.25021933149844</v>
      </c>
      <c r="N11" s="2">
        <f t="shared" si="17"/>
        <v>763.33720871920934</v>
      </c>
      <c r="O11" s="2">
        <f t="shared" si="17"/>
        <v>763.42592880880522</v>
      </c>
    </row>
    <row r="12" spans="1:15" x14ac:dyDescent="0.25">
      <c r="A12" s="2" t="s">
        <v>16</v>
      </c>
      <c r="H12" s="2">
        <f>SUM(H7:H11)</f>
        <v>212904</v>
      </c>
      <c r="I12" s="2">
        <f t="shared" ref="I12:O12" si="18">SUM(I7:I11)</f>
        <v>233194</v>
      </c>
      <c r="J12" s="2">
        <f t="shared" si="18"/>
        <v>243078</v>
      </c>
      <c r="K12" s="2">
        <f t="shared" si="18"/>
        <v>243078.40791876905</v>
      </c>
      <c r="L12" s="2">
        <f t="shared" si="18"/>
        <v>243078.82499842916</v>
      </c>
      <c r="M12" s="2">
        <f t="shared" si="18"/>
        <v>243079.25109665748</v>
      </c>
      <c r="N12" s="2">
        <f t="shared" si="18"/>
        <v>243079.68604359601</v>
      </c>
      <c r="O12" s="2">
        <f t="shared" si="18"/>
        <v>243080.12964404401</v>
      </c>
    </row>
    <row r="13" spans="1:15" x14ac:dyDescent="0.25">
      <c r="A13" s="2" t="s">
        <v>17</v>
      </c>
      <c r="H13" s="2">
        <f>H6-H12</f>
        <v>12248</v>
      </c>
      <c r="I13" s="2">
        <f t="shared" ref="I13:O13" si="19">I6-I12</f>
        <v>36852</v>
      </c>
      <c r="J13" s="2">
        <f t="shared" si="19"/>
        <v>68593</v>
      </c>
      <c r="K13" s="2">
        <f t="shared" si="19"/>
        <v>116887.54794328235</v>
      </c>
      <c r="L13" s="2">
        <f t="shared" si="19"/>
        <v>154713.88360032946</v>
      </c>
      <c r="M13" s="2">
        <f t="shared" si="19"/>
        <v>197247.06041998626</v>
      </c>
      <c r="N13" s="2">
        <f t="shared" si="19"/>
        <v>245122.94225983886</v>
      </c>
      <c r="O13" s="2">
        <f t="shared" si="19"/>
        <v>299066.19976797816</v>
      </c>
    </row>
    <row r="14" spans="1:15" x14ac:dyDescent="0.25">
      <c r="A14" s="2" t="s">
        <v>18</v>
      </c>
      <c r="H14" s="2">
        <v>989</v>
      </c>
      <c r="I14" s="2">
        <v>2949</v>
      </c>
      <c r="J14" s="2">
        <v>4677</v>
      </c>
      <c r="K14" s="2">
        <f>J38*$R$20</f>
        <v>-4456.92</v>
      </c>
      <c r="L14" s="2">
        <f t="shared" ref="L14:O14" si="20">K38*$R$20</f>
        <v>1007.2085180435222</v>
      </c>
      <c r="M14" s="2">
        <f t="shared" si="20"/>
        <v>8575.2535949964495</v>
      </c>
      <c r="N14" s="2">
        <f t="shared" si="20"/>
        <v>18578.21805612461</v>
      </c>
      <c r="O14" s="2">
        <f t="shared" si="20"/>
        <v>31394.094447480431</v>
      </c>
    </row>
    <row r="15" spans="1:15" x14ac:dyDescent="0.25">
      <c r="A15" s="2" t="s">
        <v>19</v>
      </c>
      <c r="H15" s="2">
        <v>-2367</v>
      </c>
      <c r="I15" s="2">
        <v>-3182</v>
      </c>
      <c r="J15" s="2">
        <v>-2406</v>
      </c>
    </row>
    <row r="16" spans="1:15" x14ac:dyDescent="0.25">
      <c r="A16" s="2" t="s">
        <v>20</v>
      </c>
      <c r="H16" s="2">
        <f>H13+SUM(H14:H15)</f>
        <v>10870</v>
      </c>
      <c r="I16" s="2">
        <f t="shared" ref="I16:O16" si="21">I13+SUM(I14:I15)</f>
        <v>36619</v>
      </c>
      <c r="J16" s="2">
        <f t="shared" si="21"/>
        <v>70864</v>
      </c>
      <c r="K16" s="2">
        <f t="shared" si="21"/>
        <v>112430.62794328235</v>
      </c>
      <c r="L16" s="2">
        <f t="shared" si="21"/>
        <v>155721.09211837297</v>
      </c>
      <c r="M16" s="2">
        <f t="shared" si="21"/>
        <v>205822.31401498269</v>
      </c>
      <c r="N16" s="2">
        <f t="shared" si="21"/>
        <v>263701.1603159635</v>
      </c>
      <c r="O16" s="2">
        <f t="shared" si="21"/>
        <v>330460.29421545862</v>
      </c>
    </row>
    <row r="17" spans="1:107" x14ac:dyDescent="0.25">
      <c r="A17" s="2" t="s">
        <v>21</v>
      </c>
      <c r="H17" s="2">
        <v>-3217</v>
      </c>
      <c r="I17" s="2">
        <v>7120</v>
      </c>
      <c r="J17" s="2">
        <v>9265</v>
      </c>
      <c r="K17" s="2">
        <f>K16*K24</f>
        <v>21361.819309223647</v>
      </c>
      <c r="L17" s="2">
        <f t="shared" ref="L17:O17" si="22">L16*L24</f>
        <v>29587.007502490866</v>
      </c>
      <c r="M17" s="2">
        <f t="shared" si="22"/>
        <v>39106.23966284671</v>
      </c>
      <c r="N17" s="2">
        <f t="shared" si="22"/>
        <v>50103.220460033066</v>
      </c>
      <c r="O17" s="2">
        <f t="shared" si="22"/>
        <v>62787.455900937137</v>
      </c>
    </row>
    <row r="18" spans="1:107" s="3" customFormat="1" x14ac:dyDescent="0.25">
      <c r="A18" s="3" t="s">
        <v>22</v>
      </c>
      <c r="H18" s="3">
        <f>H16-H17</f>
        <v>14087</v>
      </c>
      <c r="I18" s="3">
        <f t="shared" ref="I18:O18" si="23">I16-I17</f>
        <v>29499</v>
      </c>
      <c r="J18" s="3">
        <f t="shared" si="23"/>
        <v>61599</v>
      </c>
      <c r="K18" s="3">
        <f t="shared" si="23"/>
        <v>91068.808634058703</v>
      </c>
      <c r="L18" s="3">
        <f t="shared" si="23"/>
        <v>126134.08461588211</v>
      </c>
      <c r="M18" s="3">
        <f t="shared" si="23"/>
        <v>166716.074352136</v>
      </c>
      <c r="N18" s="3">
        <f t="shared" si="23"/>
        <v>213597.93985593042</v>
      </c>
      <c r="O18" s="3">
        <f t="shared" si="23"/>
        <v>267672.83831452148</v>
      </c>
      <c r="P18" s="3">
        <f>O18*(1+$R$21)</f>
        <v>270349.56669766671</v>
      </c>
      <c r="Q18" s="3">
        <f t="shared" ref="Q18:CB18" si="24">P18*(1+$R$21)</f>
        <v>273053.06236464338</v>
      </c>
      <c r="R18" s="3">
        <f t="shared" si="24"/>
        <v>275783.59298828983</v>
      </c>
      <c r="S18" s="3">
        <f t="shared" si="24"/>
        <v>278541.42891817272</v>
      </c>
      <c r="T18" s="3">
        <f t="shared" si="24"/>
        <v>281326.84320735442</v>
      </c>
      <c r="U18" s="3">
        <f t="shared" si="24"/>
        <v>284140.11163942795</v>
      </c>
      <c r="V18" s="3">
        <f t="shared" si="24"/>
        <v>286981.51275582222</v>
      </c>
      <c r="W18" s="3">
        <f t="shared" si="24"/>
        <v>289851.32788338047</v>
      </c>
      <c r="X18" s="3">
        <f t="shared" si="24"/>
        <v>292749.84116221429</v>
      </c>
      <c r="Y18" s="3">
        <f t="shared" si="24"/>
        <v>295677.33957383642</v>
      </c>
      <c r="Z18" s="3">
        <f t="shared" si="24"/>
        <v>298634.11296957481</v>
      </c>
      <c r="AA18" s="3">
        <f t="shared" si="24"/>
        <v>301620.45409927057</v>
      </c>
      <c r="AB18" s="3">
        <f t="shared" si="24"/>
        <v>304636.65864026325</v>
      </c>
      <c r="AC18" s="3">
        <f t="shared" si="24"/>
        <v>307683.02522666589</v>
      </c>
      <c r="AD18" s="3">
        <f t="shared" si="24"/>
        <v>310759.85547893256</v>
      </c>
      <c r="AE18" s="3">
        <f t="shared" si="24"/>
        <v>313867.45403372188</v>
      </c>
      <c r="AF18" s="3">
        <f t="shared" si="24"/>
        <v>317006.12857405911</v>
      </c>
      <c r="AG18" s="3">
        <f t="shared" si="24"/>
        <v>320176.18985979969</v>
      </c>
      <c r="AH18" s="3">
        <f t="shared" si="24"/>
        <v>323377.95175839768</v>
      </c>
      <c r="AI18" s="3">
        <f t="shared" si="24"/>
        <v>326611.73127598164</v>
      </c>
      <c r="AJ18" s="3">
        <f t="shared" si="24"/>
        <v>329877.84858874144</v>
      </c>
      <c r="AK18" s="3">
        <f t="shared" si="24"/>
        <v>333176.62707462884</v>
      </c>
      <c r="AL18" s="3">
        <f t="shared" si="24"/>
        <v>336508.39334537514</v>
      </c>
      <c r="AM18" s="3">
        <f t="shared" si="24"/>
        <v>339873.47727882891</v>
      </c>
      <c r="AN18" s="3">
        <f t="shared" si="24"/>
        <v>343272.21205161721</v>
      </c>
      <c r="AO18" s="3">
        <f t="shared" si="24"/>
        <v>346704.93417213339</v>
      </c>
      <c r="AP18" s="3">
        <f t="shared" si="24"/>
        <v>350171.98351385474</v>
      </c>
      <c r="AQ18" s="3">
        <f t="shared" si="24"/>
        <v>353673.70334899327</v>
      </c>
      <c r="AR18" s="3">
        <f t="shared" si="24"/>
        <v>357210.44038248318</v>
      </c>
      <c r="AS18" s="3">
        <f t="shared" si="24"/>
        <v>360782.54478630802</v>
      </c>
      <c r="AT18" s="3">
        <f t="shared" si="24"/>
        <v>364390.3702341711</v>
      </c>
      <c r="AU18" s="3">
        <f t="shared" si="24"/>
        <v>368034.27393651282</v>
      </c>
      <c r="AV18" s="3">
        <f t="shared" si="24"/>
        <v>371714.61667587794</v>
      </c>
      <c r="AW18" s="3">
        <f t="shared" si="24"/>
        <v>375431.76284263673</v>
      </c>
      <c r="AX18" s="3">
        <f t="shared" si="24"/>
        <v>379186.08047106309</v>
      </c>
      <c r="AY18" s="3">
        <f t="shared" si="24"/>
        <v>382977.94127577374</v>
      </c>
      <c r="AZ18" s="3">
        <f t="shared" si="24"/>
        <v>386807.72068853147</v>
      </c>
      <c r="BA18" s="3">
        <f t="shared" si="24"/>
        <v>390675.79789541679</v>
      </c>
      <c r="BB18" s="3">
        <f t="shared" si="24"/>
        <v>394582.55587437097</v>
      </c>
      <c r="BC18" s="3">
        <f t="shared" si="24"/>
        <v>398528.3814331147</v>
      </c>
      <c r="BD18" s="3">
        <f t="shared" si="24"/>
        <v>402513.66524744587</v>
      </c>
      <c r="BE18" s="3">
        <f t="shared" si="24"/>
        <v>406538.80189992033</v>
      </c>
      <c r="BF18" s="3">
        <f t="shared" si="24"/>
        <v>410604.18991891952</v>
      </c>
      <c r="BG18" s="3">
        <f t="shared" si="24"/>
        <v>414710.2318181087</v>
      </c>
      <c r="BH18" s="3">
        <f t="shared" si="24"/>
        <v>418857.33413628978</v>
      </c>
      <c r="BI18" s="3">
        <f t="shared" si="24"/>
        <v>423045.90747765265</v>
      </c>
      <c r="BJ18" s="3">
        <f t="shared" si="24"/>
        <v>427276.36655242916</v>
      </c>
      <c r="BK18" s="3">
        <f t="shared" si="24"/>
        <v>431549.13021795347</v>
      </c>
      <c r="BL18" s="3">
        <f t="shared" si="24"/>
        <v>435864.62152013299</v>
      </c>
      <c r="BM18" s="3">
        <f t="shared" si="24"/>
        <v>440223.26773533435</v>
      </c>
      <c r="BN18" s="3">
        <f t="shared" si="24"/>
        <v>444625.50041268772</v>
      </c>
      <c r="BO18" s="3">
        <f t="shared" si="24"/>
        <v>449071.75541681459</v>
      </c>
      <c r="BP18" s="3">
        <f t="shared" si="24"/>
        <v>453562.47297098272</v>
      </c>
      <c r="BQ18" s="3">
        <f t="shared" si="24"/>
        <v>458098.09770069254</v>
      </c>
      <c r="BR18" s="3">
        <f t="shared" si="24"/>
        <v>462679.07867769949</v>
      </c>
      <c r="BS18" s="3">
        <f t="shared" si="24"/>
        <v>467305.86946447648</v>
      </c>
      <c r="BT18" s="3">
        <f t="shared" si="24"/>
        <v>471978.92815912125</v>
      </c>
      <c r="BU18" s="3">
        <f t="shared" si="24"/>
        <v>476698.71744071244</v>
      </c>
      <c r="BV18" s="3">
        <f t="shared" si="24"/>
        <v>481465.70461511955</v>
      </c>
      <c r="BW18" s="3">
        <f t="shared" si="24"/>
        <v>486280.36166127073</v>
      </c>
      <c r="BX18" s="3">
        <f t="shared" si="24"/>
        <v>491143.16527788341</v>
      </c>
      <c r="BY18" s="3">
        <f t="shared" si="24"/>
        <v>496054.59693066223</v>
      </c>
      <c r="BZ18" s="3">
        <f t="shared" si="24"/>
        <v>501015.14289996884</v>
      </c>
      <c r="CA18" s="3">
        <f t="shared" si="24"/>
        <v>506025.29432896851</v>
      </c>
      <c r="CB18" s="3">
        <f t="shared" si="24"/>
        <v>511085.54727225821</v>
      </c>
      <c r="CC18" s="3">
        <f t="shared" ref="CC18:DC18" si="25">CB18*(1+$R$21)</f>
        <v>516196.40274498082</v>
      </c>
      <c r="CD18" s="3">
        <f t="shared" si="25"/>
        <v>521358.36677243066</v>
      </c>
      <c r="CE18" s="3">
        <f t="shared" si="25"/>
        <v>526571.95044015499</v>
      </c>
      <c r="CF18" s="3">
        <f t="shared" si="25"/>
        <v>531837.66994455655</v>
      </c>
      <c r="CG18" s="3">
        <f t="shared" si="25"/>
        <v>537156.04664400208</v>
      </c>
      <c r="CH18" s="3">
        <f t="shared" si="25"/>
        <v>542527.60711044213</v>
      </c>
      <c r="CI18" s="3">
        <f t="shared" si="25"/>
        <v>547952.88318154658</v>
      </c>
      <c r="CJ18" s="3">
        <f t="shared" si="25"/>
        <v>553432.41201336205</v>
      </c>
      <c r="CK18" s="3">
        <f t="shared" si="25"/>
        <v>558966.73613349569</v>
      </c>
      <c r="CL18" s="3">
        <f t="shared" si="25"/>
        <v>564556.40349483071</v>
      </c>
      <c r="CM18" s="3">
        <f t="shared" si="25"/>
        <v>570201.96752977907</v>
      </c>
      <c r="CN18" s="3">
        <f t="shared" si="25"/>
        <v>575903.98720507685</v>
      </c>
      <c r="CO18" s="3">
        <f t="shared" si="25"/>
        <v>581663.0270771276</v>
      </c>
      <c r="CP18" s="3">
        <f t="shared" si="25"/>
        <v>587479.65734789893</v>
      </c>
      <c r="CQ18" s="3">
        <f t="shared" si="25"/>
        <v>593354.45392137789</v>
      </c>
      <c r="CR18" s="3">
        <f t="shared" si="25"/>
        <v>599287.99846059165</v>
      </c>
      <c r="CS18" s="3">
        <f t="shared" si="25"/>
        <v>605280.8784451976</v>
      </c>
      <c r="CT18" s="3">
        <f t="shared" si="25"/>
        <v>611333.68722964963</v>
      </c>
      <c r="CU18" s="3">
        <f t="shared" si="25"/>
        <v>617447.02410194615</v>
      </c>
      <c r="CV18" s="3">
        <f t="shared" si="25"/>
        <v>623621.49434296566</v>
      </c>
      <c r="CW18" s="3">
        <f t="shared" si="25"/>
        <v>629857.70928639534</v>
      </c>
      <c r="CX18" s="3">
        <f t="shared" si="25"/>
        <v>636156.28637925931</v>
      </c>
      <c r="CY18" s="3">
        <f t="shared" si="25"/>
        <v>642517.84924305195</v>
      </c>
      <c r="CZ18" s="3">
        <f t="shared" si="25"/>
        <v>648943.02773548244</v>
      </c>
      <c r="DA18" s="3">
        <f t="shared" si="25"/>
        <v>655432.45801283722</v>
      </c>
      <c r="DB18" s="3">
        <f t="shared" si="25"/>
        <v>661986.78259296564</v>
      </c>
      <c r="DC18" s="3">
        <f t="shared" si="25"/>
        <v>668606.6504188953</v>
      </c>
    </row>
    <row r="19" spans="1:107" x14ac:dyDescent="0.25">
      <c r="A19" s="2" t="s">
        <v>2</v>
      </c>
      <c r="Q19" s="7"/>
      <c r="R19" s="8"/>
    </row>
    <row r="20" spans="1:107" x14ac:dyDescent="0.25">
      <c r="A20" s="2" t="s">
        <v>23</v>
      </c>
      <c r="Q20" s="2" t="s">
        <v>43</v>
      </c>
      <c r="R20" s="5">
        <v>0.06</v>
      </c>
    </row>
    <row r="21" spans="1:107" x14ac:dyDescent="0.25">
      <c r="Q21" s="2" t="s">
        <v>44</v>
      </c>
      <c r="R21" s="9">
        <v>0.01</v>
      </c>
    </row>
    <row r="22" spans="1:107" s="3" customFormat="1" x14ac:dyDescent="0.25">
      <c r="A22" s="3" t="s">
        <v>24</v>
      </c>
      <c r="I22" s="6">
        <f>I4/H4-1</f>
        <v>0.1182957412988368</v>
      </c>
      <c r="J22" s="6">
        <f>J4/I4-1</f>
        <v>0.1099089224666614</v>
      </c>
      <c r="K22" s="6">
        <f t="shared" ref="K22:O22" si="26">K4/J4-1</f>
        <v>8.1583753814900462E-2</v>
      </c>
      <c r="L22" s="6">
        <f t="shared" si="26"/>
        <v>8.3415932024599959E-2</v>
      </c>
      <c r="M22" s="6">
        <f t="shared" si="26"/>
        <v>8.5219645658850762E-2</v>
      </c>
      <c r="N22" s="6">
        <f t="shared" si="26"/>
        <v>8.6989387710877164E-2</v>
      </c>
      <c r="O22" s="6">
        <f t="shared" si="26"/>
        <v>8.8720089595906604E-2</v>
      </c>
      <c r="Q22" s="2" t="s">
        <v>45</v>
      </c>
      <c r="R22" s="9">
        <v>0.08</v>
      </c>
    </row>
    <row r="23" spans="1:107" x14ac:dyDescent="0.25">
      <c r="A23" s="2" t="s">
        <v>25</v>
      </c>
      <c r="Q23" s="7" t="s">
        <v>46</v>
      </c>
      <c r="R23" s="10">
        <f>NPV(R22,K36:XFD36)+Sheet1!D5-Sheet1!D6</f>
        <v>2270056.3651257632</v>
      </c>
    </row>
    <row r="24" spans="1:107" x14ac:dyDescent="0.25">
      <c r="A24" s="2" t="s">
        <v>26</v>
      </c>
      <c r="H24" s="5">
        <f>H17/H16</f>
        <v>-0.29595216191352347</v>
      </c>
      <c r="I24" s="5">
        <f t="shared" ref="I24:J24" si="27">I17/I16</f>
        <v>0.19443458313990006</v>
      </c>
      <c r="J24" s="5">
        <f t="shared" si="27"/>
        <v>0.13074339580040642</v>
      </c>
      <c r="K24" s="5">
        <v>0.19</v>
      </c>
      <c r="L24" s="5">
        <v>0.19</v>
      </c>
      <c r="M24" s="5">
        <v>0.19</v>
      </c>
      <c r="N24" s="5">
        <v>0.19</v>
      </c>
      <c r="O24" s="5">
        <v>0.19</v>
      </c>
      <c r="Q24" s="7" t="s">
        <v>1</v>
      </c>
      <c r="R24" s="2">
        <f>R23/Sheet1!D3</f>
        <v>214.20273881368252</v>
      </c>
    </row>
    <row r="25" spans="1:107" x14ac:dyDescent="0.25">
      <c r="H25" s="5"/>
      <c r="I25" s="5"/>
      <c r="J25" s="5"/>
      <c r="K25" s="5"/>
      <c r="L25" s="5"/>
      <c r="M25" s="5"/>
      <c r="N25" s="5"/>
      <c r="O25" s="5"/>
      <c r="Q25" s="2" t="s">
        <v>47</v>
      </c>
      <c r="R25" s="5">
        <f>R24/Sheet1!D2-1</f>
        <v>0.12738283586148702</v>
      </c>
    </row>
    <row r="26" spans="1:107" x14ac:dyDescent="0.25">
      <c r="A26" s="2" t="s">
        <v>40</v>
      </c>
      <c r="I26" s="5">
        <f>I2/H2-1</f>
        <v>5.3462110077768354E-2</v>
      </c>
      <c r="J26" s="5">
        <f>J2/I2-1</f>
        <v>6.4184581475416946E-2</v>
      </c>
      <c r="K26" s="5">
        <f t="shared" ref="K26:O26" si="28">K2/J2-1</f>
        <v>3.0000000000000027E-2</v>
      </c>
      <c r="L26" s="5">
        <f t="shared" si="28"/>
        <v>3.0000000000000027E-2</v>
      </c>
      <c r="M26" s="5">
        <f t="shared" si="28"/>
        <v>3.0000000000000027E-2</v>
      </c>
      <c r="N26" s="5">
        <f t="shared" si="28"/>
        <v>3.0000000000000027E-2</v>
      </c>
      <c r="O26" s="5">
        <f t="shared" si="28"/>
        <v>3.0000000000000027E-2</v>
      </c>
    </row>
    <row r="27" spans="1:107" x14ac:dyDescent="0.25">
      <c r="A27" s="2" t="s">
        <v>41</v>
      </c>
      <c r="I27" s="5">
        <f>I3/H3-1</f>
        <v>0.17638943197999124</v>
      </c>
      <c r="J27" s="5">
        <f>J3/I3-1</f>
        <v>0.14659859892504823</v>
      </c>
      <c r="K27" s="5">
        <f>K3/J3-1</f>
        <v>0.12000000000000011</v>
      </c>
      <c r="L27" s="5">
        <f>L3/K3-1</f>
        <v>0.12000000000000011</v>
      </c>
      <c r="M27" s="5">
        <f>M3/L3-1</f>
        <v>0.12000000000000011</v>
      </c>
      <c r="N27" s="5">
        <f>N3/M3-1</f>
        <v>0.12000000000000011</v>
      </c>
      <c r="O27" s="5">
        <f>O3/N3-1</f>
        <v>0.12000000000000011</v>
      </c>
    </row>
    <row r="28" spans="1:107" x14ac:dyDescent="0.25">
      <c r="I28" s="5"/>
      <c r="J28" s="5"/>
      <c r="K28" s="5"/>
      <c r="L28" s="5"/>
      <c r="M28" s="5"/>
      <c r="N28" s="5"/>
      <c r="O28" s="5"/>
    </row>
    <row r="29" spans="1:107" s="3" customFormat="1" x14ac:dyDescent="0.25">
      <c r="A29" s="3" t="s">
        <v>27</v>
      </c>
      <c r="H29" s="6">
        <f>H5/H4</f>
        <v>0.56194660134673713</v>
      </c>
      <c r="I29" s="6">
        <f t="shared" ref="I29:J29" si="29">I5/I4</f>
        <v>0.53017911044999433</v>
      </c>
      <c r="J29" s="6">
        <f t="shared" si="29"/>
        <v>0.51145606535843213</v>
      </c>
      <c r="K29" s="6">
        <f>J29*1.02</f>
        <v>0.52168518666560082</v>
      </c>
      <c r="L29" s="6">
        <f t="shared" ref="L29:O29" si="30">K29*1.02</f>
        <v>0.5321188903989128</v>
      </c>
      <c r="M29" s="6">
        <f t="shared" si="30"/>
        <v>0.54276126820689108</v>
      </c>
      <c r="N29" s="6">
        <f t="shared" si="30"/>
        <v>0.55361649357102893</v>
      </c>
      <c r="O29" s="6">
        <f t="shared" si="30"/>
        <v>0.56468882344244953</v>
      </c>
    </row>
    <row r="30" spans="1:107" x14ac:dyDescent="0.25">
      <c r="A30" s="2" t="s">
        <v>28</v>
      </c>
    </row>
    <row r="31" spans="1:107" x14ac:dyDescent="0.25">
      <c r="A31" s="2" t="s">
        <v>29</v>
      </c>
      <c r="H31" s="9">
        <f>H36/H4</f>
        <v>-3.2866845790619534E-2</v>
      </c>
      <c r="I31" s="9">
        <f>I36/I4</f>
        <v>5.6050523239124198E-2</v>
      </c>
      <c r="J31" s="9">
        <f>J36/J4</f>
        <v>5.1536227249713538E-2</v>
      </c>
      <c r="K31" s="9">
        <f t="shared" ref="K31:O31" si="31">K36/K4</f>
        <v>7.8310553324087553E-2</v>
      </c>
      <c r="L31" s="9">
        <f t="shared" si="31"/>
        <v>0.1065232189249474</v>
      </c>
      <c r="M31" s="9">
        <f t="shared" si="31"/>
        <v>0.13635151060113787</v>
      </c>
      <c r="N31" s="9">
        <f t="shared" si="31"/>
        <v>0.16799321080074969</v>
      </c>
      <c r="O31" s="9">
        <f t="shared" si="31"/>
        <v>0.20166837840780885</v>
      </c>
    </row>
    <row r="32" spans="1:107" x14ac:dyDescent="0.25">
      <c r="H32" s="9"/>
      <c r="I32" s="9"/>
      <c r="J32" s="9"/>
      <c r="K32" s="9"/>
      <c r="L32" s="9"/>
      <c r="M32" s="9"/>
      <c r="N32" s="9"/>
      <c r="O32" s="9"/>
    </row>
    <row r="33" spans="1:108" x14ac:dyDescent="0.25">
      <c r="H33" s="5">
        <f>H34/H4</f>
        <v>9.0960206855090542E-2</v>
      </c>
      <c r="I33" s="5">
        <f>I34/I4</f>
        <v>0.14778743356211452</v>
      </c>
      <c r="J33" s="5">
        <f>J34/J4</f>
        <v>0.18163706445085029</v>
      </c>
      <c r="K33" s="5">
        <f>J33*1.1</f>
        <v>0.19980077089593534</v>
      </c>
      <c r="L33" s="5">
        <f t="shared" ref="L33:O33" si="32">K33*1.1</f>
        <v>0.21978084798552888</v>
      </c>
      <c r="M33" s="5">
        <f t="shared" si="32"/>
        <v>0.24175893278408178</v>
      </c>
      <c r="N33" s="5">
        <f t="shared" si="32"/>
        <v>0.26593482606248997</v>
      </c>
      <c r="O33" s="5">
        <f t="shared" si="32"/>
        <v>0.29252830866873897</v>
      </c>
    </row>
    <row r="34" spans="1:108" x14ac:dyDescent="0.25">
      <c r="A34" s="2" t="s">
        <v>31</v>
      </c>
      <c r="H34" s="2">
        <v>46752</v>
      </c>
      <c r="I34" s="2">
        <v>84946</v>
      </c>
      <c r="J34" s="2">
        <v>115877</v>
      </c>
      <c r="K34" s="2">
        <f>K33*K4</f>
        <v>137863.74870489017</v>
      </c>
      <c r="L34" s="2">
        <f>L33*L4</f>
        <v>164300.15997506518</v>
      </c>
      <c r="M34" s="2">
        <f>M33*M4</f>
        <v>196131.93752881605</v>
      </c>
      <c r="N34" s="2">
        <f>N33*N4</f>
        <v>234512.66815349535</v>
      </c>
      <c r="O34" s="2">
        <f>O33*O4</f>
        <v>280850.51839179342</v>
      </c>
    </row>
    <row r="35" spans="1:108" x14ac:dyDescent="0.25">
      <c r="A35" s="2" t="s">
        <v>32</v>
      </c>
      <c r="H35" s="2">
        <v>63645</v>
      </c>
      <c r="I35" s="2">
        <v>52729</v>
      </c>
      <c r="J35" s="2">
        <v>82999</v>
      </c>
      <c r="K35" s="2">
        <f>J35*1.01</f>
        <v>83828.990000000005</v>
      </c>
      <c r="L35" s="2">
        <f t="shared" ref="L35:O35" si="33">K35*1.01</f>
        <v>84667.279900000009</v>
      </c>
      <c r="M35" s="2">
        <f t="shared" si="33"/>
        <v>85513.952699000016</v>
      </c>
      <c r="N35" s="2">
        <f t="shared" si="33"/>
        <v>86369.092225990011</v>
      </c>
      <c r="O35" s="2">
        <f t="shared" si="33"/>
        <v>87232.783148249917</v>
      </c>
    </row>
    <row r="36" spans="1:108" s="3" customFormat="1" x14ac:dyDescent="0.25">
      <c r="A36" s="3" t="s">
        <v>30</v>
      </c>
      <c r="H36" s="3">
        <f>H34-H35</f>
        <v>-16893</v>
      </c>
      <c r="I36" s="3">
        <f t="shared" ref="I36:J36" si="34">I34-I35</f>
        <v>32217</v>
      </c>
      <c r="J36" s="3">
        <f t="shared" si="34"/>
        <v>32878</v>
      </c>
      <c r="K36" s="3">
        <f>K34-K35</f>
        <v>54034.758704890162</v>
      </c>
      <c r="L36" s="3">
        <f t="shared" ref="L36:O36" si="35">L34-L35</f>
        <v>79632.880075065172</v>
      </c>
      <c r="M36" s="3">
        <f t="shared" si="35"/>
        <v>110617.98482981604</v>
      </c>
      <c r="N36" s="3">
        <f t="shared" si="35"/>
        <v>148143.57592750533</v>
      </c>
      <c r="O36" s="3">
        <f t="shared" si="35"/>
        <v>193617.73524354352</v>
      </c>
      <c r="P36" s="3">
        <f>O36*(1+$R$21)</f>
        <v>195553.91259597897</v>
      </c>
      <c r="Q36" s="3">
        <f t="shared" ref="Q36:CB36" si="36">P36*(1+$R$21)</f>
        <v>197509.45172193876</v>
      </c>
      <c r="R36" s="3">
        <f t="shared" si="36"/>
        <v>199484.54623915814</v>
      </c>
      <c r="S36" s="3">
        <f t="shared" si="36"/>
        <v>201479.39170154973</v>
      </c>
      <c r="T36" s="3">
        <f t="shared" si="36"/>
        <v>203494.18561856521</v>
      </c>
      <c r="U36" s="3">
        <f t="shared" si="36"/>
        <v>205529.12747475086</v>
      </c>
      <c r="V36" s="3">
        <f t="shared" si="36"/>
        <v>207584.41874949838</v>
      </c>
      <c r="W36" s="3">
        <f t="shared" si="36"/>
        <v>209660.26293699336</v>
      </c>
      <c r="X36" s="3">
        <f t="shared" si="36"/>
        <v>211756.8655663633</v>
      </c>
      <c r="Y36" s="3">
        <f t="shared" si="36"/>
        <v>213874.43422202693</v>
      </c>
      <c r="Z36" s="3">
        <f t="shared" si="36"/>
        <v>216013.17856424721</v>
      </c>
      <c r="AA36" s="3">
        <f t="shared" si="36"/>
        <v>218173.31034988968</v>
      </c>
      <c r="AB36" s="3">
        <f t="shared" si="36"/>
        <v>220355.04345338859</v>
      </c>
      <c r="AC36" s="3">
        <f t="shared" si="36"/>
        <v>222558.59388792247</v>
      </c>
      <c r="AD36" s="3">
        <f t="shared" si="36"/>
        <v>224784.1798268017</v>
      </c>
      <c r="AE36" s="3">
        <f t="shared" si="36"/>
        <v>227032.02162506973</v>
      </c>
      <c r="AF36" s="3">
        <f t="shared" si="36"/>
        <v>229302.34184132042</v>
      </c>
      <c r="AG36" s="3">
        <f t="shared" si="36"/>
        <v>231595.36525973363</v>
      </c>
      <c r="AH36" s="3">
        <f t="shared" si="36"/>
        <v>233911.31891233099</v>
      </c>
      <c r="AI36" s="3">
        <f t="shared" si="36"/>
        <v>236250.43210145429</v>
      </c>
      <c r="AJ36" s="3">
        <f t="shared" si="36"/>
        <v>238612.93642246883</v>
      </c>
      <c r="AK36" s="3">
        <f t="shared" si="36"/>
        <v>240999.06578669354</v>
      </c>
      <c r="AL36" s="3">
        <f t="shared" si="36"/>
        <v>243409.05644456047</v>
      </c>
      <c r="AM36" s="3">
        <f t="shared" si="36"/>
        <v>245843.14700900606</v>
      </c>
      <c r="AN36" s="3">
        <f t="shared" si="36"/>
        <v>248301.57847909612</v>
      </c>
      <c r="AO36" s="3">
        <f t="shared" si="36"/>
        <v>250784.59426388709</v>
      </c>
      <c r="AP36" s="3">
        <f t="shared" si="36"/>
        <v>253292.44020652596</v>
      </c>
      <c r="AQ36" s="3">
        <f t="shared" si="36"/>
        <v>255825.36460859122</v>
      </c>
      <c r="AR36" s="3">
        <f t="shared" si="36"/>
        <v>258383.61825467713</v>
      </c>
      <c r="AS36" s="3">
        <f t="shared" si="36"/>
        <v>260967.4544372239</v>
      </c>
      <c r="AT36" s="3">
        <f t="shared" si="36"/>
        <v>263577.12898159615</v>
      </c>
      <c r="AU36" s="3">
        <f t="shared" si="36"/>
        <v>266212.9002714121</v>
      </c>
      <c r="AV36" s="3">
        <f t="shared" si="36"/>
        <v>268875.02927412622</v>
      </c>
      <c r="AW36" s="3">
        <f t="shared" si="36"/>
        <v>271563.77956686751</v>
      </c>
      <c r="AX36" s="3">
        <f t="shared" si="36"/>
        <v>274279.41736253619</v>
      </c>
      <c r="AY36" s="3">
        <f t="shared" si="36"/>
        <v>277022.21153616154</v>
      </c>
      <c r="AZ36" s="3">
        <f t="shared" si="36"/>
        <v>279792.43365152314</v>
      </c>
      <c r="BA36" s="3">
        <f t="shared" si="36"/>
        <v>282590.35798803839</v>
      </c>
      <c r="BB36" s="3">
        <f t="shared" si="36"/>
        <v>285416.26156791876</v>
      </c>
      <c r="BC36" s="3">
        <f t="shared" si="36"/>
        <v>288270.42418359796</v>
      </c>
      <c r="BD36" s="3">
        <f t="shared" si="36"/>
        <v>291153.12842543394</v>
      </c>
      <c r="BE36" s="3">
        <f t="shared" si="36"/>
        <v>294064.65970968828</v>
      </c>
      <c r="BF36" s="3">
        <f t="shared" si="36"/>
        <v>297005.30630678515</v>
      </c>
      <c r="BG36" s="3">
        <f t="shared" si="36"/>
        <v>299975.35936985299</v>
      </c>
      <c r="BH36" s="3">
        <f t="shared" si="36"/>
        <v>302975.11296355154</v>
      </c>
      <c r="BI36" s="3">
        <f t="shared" si="36"/>
        <v>306004.86409318703</v>
      </c>
      <c r="BJ36" s="3">
        <f t="shared" si="36"/>
        <v>309064.91273411893</v>
      </c>
      <c r="BK36" s="3">
        <f t="shared" si="36"/>
        <v>312155.5618614601</v>
      </c>
      <c r="BL36" s="3">
        <f t="shared" si="36"/>
        <v>315277.1174800747</v>
      </c>
      <c r="BM36" s="3">
        <f t="shared" si="36"/>
        <v>318429.88865487545</v>
      </c>
      <c r="BN36" s="3">
        <f t="shared" si="36"/>
        <v>321614.18754142424</v>
      </c>
      <c r="BO36" s="3">
        <f t="shared" si="36"/>
        <v>324830.32941683847</v>
      </c>
      <c r="BP36" s="3">
        <f t="shared" si="36"/>
        <v>328078.63271100685</v>
      </c>
      <c r="BQ36" s="3">
        <f t="shared" si="36"/>
        <v>331359.41903811693</v>
      </c>
      <c r="BR36" s="3">
        <f t="shared" si="36"/>
        <v>334673.01322849811</v>
      </c>
      <c r="BS36" s="3">
        <f t="shared" si="36"/>
        <v>338019.74336078309</v>
      </c>
      <c r="BT36" s="3">
        <f t="shared" si="36"/>
        <v>341399.94079439092</v>
      </c>
      <c r="BU36" s="3">
        <f t="shared" si="36"/>
        <v>344813.94020233484</v>
      </c>
      <c r="BV36" s="3">
        <f t="shared" si="36"/>
        <v>348262.07960435818</v>
      </c>
      <c r="BW36" s="3">
        <f t="shared" si="36"/>
        <v>351744.70040040178</v>
      </c>
      <c r="BX36" s="3">
        <f t="shared" si="36"/>
        <v>355262.14740440581</v>
      </c>
      <c r="BY36" s="3">
        <f t="shared" si="36"/>
        <v>358814.76887844986</v>
      </c>
      <c r="BZ36" s="3">
        <f t="shared" si="36"/>
        <v>362402.91656723438</v>
      </c>
      <c r="CA36" s="3">
        <f t="shared" si="36"/>
        <v>366026.94573290675</v>
      </c>
      <c r="CB36" s="3">
        <f t="shared" si="36"/>
        <v>369687.21519023582</v>
      </c>
      <c r="CC36" s="3">
        <f t="shared" ref="CC36:DD36" si="37">CB36*(1+$R$21)</f>
        <v>373384.08734213817</v>
      </c>
      <c r="CD36" s="3">
        <f t="shared" si="37"/>
        <v>377117.92821555957</v>
      </c>
      <c r="CE36" s="3">
        <f t="shared" si="37"/>
        <v>380889.10749771516</v>
      </c>
      <c r="CF36" s="3">
        <f t="shared" si="37"/>
        <v>384697.99857269233</v>
      </c>
      <c r="CG36" s="3">
        <f t="shared" si="37"/>
        <v>388544.97855841927</v>
      </c>
      <c r="CH36" s="3">
        <f t="shared" si="37"/>
        <v>392430.42834400345</v>
      </c>
      <c r="CI36" s="3">
        <f t="shared" si="37"/>
        <v>396354.7326274435</v>
      </c>
      <c r="CJ36" s="3">
        <f t="shared" si="37"/>
        <v>400318.27995371795</v>
      </c>
      <c r="CK36" s="3">
        <f t="shared" si="37"/>
        <v>404321.46275325515</v>
      </c>
      <c r="CL36" s="3">
        <f t="shared" si="37"/>
        <v>408364.67738078773</v>
      </c>
      <c r="CM36" s="3">
        <f t="shared" si="37"/>
        <v>412448.32415459561</v>
      </c>
      <c r="CN36" s="3">
        <f t="shared" si="37"/>
        <v>416572.80739614158</v>
      </c>
      <c r="CO36" s="3">
        <f t="shared" si="37"/>
        <v>420738.53547010297</v>
      </c>
      <c r="CP36" s="3">
        <f t="shared" si="37"/>
        <v>424945.92082480399</v>
      </c>
      <c r="CQ36" s="3">
        <f t="shared" si="37"/>
        <v>429195.38003305206</v>
      </c>
      <c r="CR36" s="3">
        <f t="shared" si="37"/>
        <v>433487.33383338258</v>
      </c>
      <c r="CS36" s="3">
        <f t="shared" si="37"/>
        <v>437822.20717171644</v>
      </c>
      <c r="CT36" s="3">
        <f t="shared" si="37"/>
        <v>442200.42924343358</v>
      </c>
      <c r="CU36" s="3">
        <f t="shared" si="37"/>
        <v>446622.43353586789</v>
      </c>
      <c r="CV36" s="3">
        <f t="shared" si="37"/>
        <v>451088.65787122661</v>
      </c>
      <c r="CW36" s="3">
        <f t="shared" si="37"/>
        <v>455599.54444993887</v>
      </c>
      <c r="CX36" s="3">
        <f t="shared" si="37"/>
        <v>460155.53989443823</v>
      </c>
      <c r="CY36" s="3">
        <f t="shared" si="37"/>
        <v>464757.09529338259</v>
      </c>
      <c r="CZ36" s="3">
        <f t="shared" si="37"/>
        <v>469404.6662463164</v>
      </c>
      <c r="DA36" s="3">
        <f t="shared" si="37"/>
        <v>474098.71290877956</v>
      </c>
      <c r="DB36" s="3">
        <f t="shared" si="37"/>
        <v>478839.70003786735</v>
      </c>
      <c r="DC36" s="3">
        <f t="shared" si="37"/>
        <v>483628.09703824605</v>
      </c>
      <c r="DD36" s="3">
        <f t="shared" si="37"/>
        <v>488464.3780086285</v>
      </c>
    </row>
    <row r="38" spans="1:108" x14ac:dyDescent="0.25">
      <c r="A38" s="2" t="s">
        <v>33</v>
      </c>
      <c r="J38" s="2">
        <f>J40-J43</f>
        <v>-74282</v>
      </c>
      <c r="K38" s="2">
        <f>J38+K18</f>
        <v>16786.808634058703</v>
      </c>
      <c r="L38" s="2">
        <f>K38+L18</f>
        <v>142920.89324994083</v>
      </c>
      <c r="M38" s="2">
        <f>L38+M18</f>
        <v>309636.96760207682</v>
      </c>
      <c r="N38" s="2">
        <f>M38+N18</f>
        <v>523234.90745800722</v>
      </c>
      <c r="O38" s="2">
        <f>N38+O18</f>
        <v>790907.74577252869</v>
      </c>
    </row>
    <row r="40" spans="1:108" x14ac:dyDescent="0.25">
      <c r="A40" s="2" t="s">
        <v>4</v>
      </c>
      <c r="J40" s="2">
        <f>73387+13393</f>
        <v>86780</v>
      </c>
    </row>
    <row r="41" spans="1:108" x14ac:dyDescent="0.25">
      <c r="A41" s="2" t="s">
        <v>42</v>
      </c>
    </row>
    <row r="43" spans="1:108" x14ac:dyDescent="0.25">
      <c r="A43" s="2" t="s">
        <v>5</v>
      </c>
      <c r="J43" s="2">
        <f>58314+25451+77297</f>
        <v>161062</v>
      </c>
    </row>
    <row r="44" spans="1:108" x14ac:dyDescent="0.25">
      <c r="A44" s="2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2025-04-25T03:58:41Z</dcterms:created>
  <dcterms:modified xsi:type="dcterms:W3CDTF">2025-04-25T04:26:45Z</dcterms:modified>
</cp:coreProperties>
</file>