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23B271D-91D2-4536-B29B-953BB9F63C2C}" xr6:coauthVersionLast="47" xr6:coauthVersionMax="47" xr10:uidLastSave="{00000000-0000-0000-0000-000000000000}"/>
  <bookViews>
    <workbookView xWindow="390" yWindow="390" windowWidth="22125" windowHeight="14250" activeTab="1" xr2:uid="{0C2E6319-0109-49A4-A46A-629FFB4D718F}"/>
  </bookViews>
  <sheets>
    <sheet name="Main" sheetId="1" r:id="rId1"/>
    <sheet name="Model" sheetId="2" r:id="rId2"/>
    <sheet name="SG-0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9" i="2" l="1"/>
  <c r="O8" i="2"/>
  <c r="P8" i="2" s="1"/>
  <c r="Q8" i="2" s="1"/>
  <c r="R8" i="2" s="1"/>
  <c r="S8" i="2" s="1"/>
  <c r="T8" i="2" s="1"/>
  <c r="U8" i="2" s="1"/>
  <c r="V8" i="2" s="1"/>
  <c r="Q9" i="2"/>
  <c r="R9" i="2"/>
  <c r="S9" i="2" s="1"/>
  <c r="T9" i="2" s="1"/>
  <c r="U9" i="2" s="1"/>
  <c r="V9" i="2" s="1"/>
  <c r="P9" i="2"/>
  <c r="O9" i="2"/>
  <c r="P3" i="2"/>
  <c r="Q3" i="2" s="1"/>
  <c r="R3" i="2" s="1"/>
  <c r="S3" i="2" s="1"/>
  <c r="T3" i="2" s="1"/>
  <c r="U3" i="2" s="1"/>
  <c r="V3" i="2" s="1"/>
  <c r="O3" i="2"/>
  <c r="N3" i="2"/>
  <c r="M3" i="2"/>
  <c r="M9" i="4"/>
  <c r="N9" i="4"/>
  <c r="O9" i="4"/>
  <c r="O10" i="4" s="1"/>
  <c r="P9" i="4"/>
  <c r="P10" i="4" s="1"/>
  <c r="L9" i="4"/>
  <c r="K9" i="4"/>
  <c r="E10" i="4"/>
  <c r="F10" i="4"/>
  <c r="G10" i="4"/>
  <c r="H10" i="4"/>
  <c r="I10" i="4"/>
  <c r="J10" i="4"/>
  <c r="K10" i="4"/>
  <c r="L10" i="4"/>
  <c r="M10" i="4"/>
  <c r="C14" i="4" s="1"/>
  <c r="N10" i="4"/>
  <c r="D10" i="4"/>
  <c r="J9" i="4"/>
  <c r="I9" i="4"/>
  <c r="H9" i="4"/>
  <c r="G9" i="4"/>
  <c r="F9" i="4"/>
  <c r="P8" i="4"/>
  <c r="M8" i="4"/>
  <c r="N8" i="4" s="1"/>
  <c r="O8" i="4" s="1"/>
  <c r="G8" i="4"/>
  <c r="H8" i="4" s="1"/>
  <c r="I8" i="4" s="1"/>
  <c r="J8" i="4" s="1"/>
  <c r="K8" i="4" s="1"/>
  <c r="L8" i="4" s="1"/>
  <c r="F8" i="4"/>
  <c r="E8" i="4"/>
  <c r="M15" i="2"/>
  <c r="N15" i="2" s="1"/>
  <c r="O15" i="2" s="1"/>
  <c r="P15" i="2" s="1"/>
  <c r="Q15" i="2" s="1"/>
  <c r="R15" i="2" s="1"/>
  <c r="S15" i="2" s="1"/>
  <c r="T15" i="2" s="1"/>
  <c r="U15" i="2" s="1"/>
  <c r="V15" i="2" s="1"/>
  <c r="M5" i="2"/>
  <c r="N5" i="2" s="1"/>
  <c r="O5" i="2" s="1"/>
  <c r="P5" i="2" s="1"/>
  <c r="Q5" i="2" s="1"/>
  <c r="R5" i="2" s="1"/>
  <c r="M8" i="2"/>
  <c r="N8" i="2" s="1"/>
  <c r="M2" i="2"/>
  <c r="L4" i="2"/>
  <c r="L6" i="2" s="1"/>
  <c r="L10" i="2" s="1"/>
  <c r="L9" i="2" s="1"/>
  <c r="M9" i="2" s="1"/>
  <c r="N9" i="2" s="1"/>
  <c r="K37" i="2"/>
  <c r="K33" i="2" s="1"/>
  <c r="L37" i="2"/>
  <c r="L33" i="2" s="1"/>
  <c r="J37" i="2"/>
  <c r="J33" i="2" s="1"/>
  <c r="L28" i="2"/>
  <c r="K28" i="2"/>
  <c r="K18" i="2"/>
  <c r="K32" i="2" s="1"/>
  <c r="L18" i="2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J18" i="2"/>
  <c r="J32" i="2" s="1"/>
  <c r="K13" i="2"/>
  <c r="L13" i="2"/>
  <c r="J13" i="2"/>
  <c r="J31" i="2" s="1"/>
  <c r="L43" i="2"/>
  <c r="L39" i="2" s="1"/>
  <c r="M20" i="2" s="1"/>
  <c r="K1" i="2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P6" i="1"/>
  <c r="P4" i="1"/>
  <c r="P7" i="1" s="1"/>
  <c r="S5" i="2" l="1"/>
  <c r="M4" i="2"/>
  <c r="M6" i="2"/>
  <c r="M10" i="2" s="1"/>
  <c r="N2" i="2"/>
  <c r="L19" i="2"/>
  <c r="L22" i="2" s="1"/>
  <c r="L24" i="2" s="1"/>
  <c r="L25" i="2" s="1"/>
  <c r="K19" i="2"/>
  <c r="K22" i="2" s="1"/>
  <c r="K24" i="2" s="1"/>
  <c r="K25" i="2" s="1"/>
  <c r="L29" i="2"/>
  <c r="J19" i="2"/>
  <c r="J22" i="2" s="1"/>
  <c r="K31" i="2"/>
  <c r="L31" i="2"/>
  <c r="N31" i="2" s="1"/>
  <c r="O31" i="2" s="1"/>
  <c r="P31" i="2" s="1"/>
  <c r="Q31" i="2" s="1"/>
  <c r="R31" i="2" s="1"/>
  <c r="S31" i="2" s="1"/>
  <c r="T31" i="2" s="1"/>
  <c r="U31" i="2" s="1"/>
  <c r="V31" i="2" s="1"/>
  <c r="K29" i="2" l="1"/>
  <c r="T5" i="2"/>
  <c r="M11" i="2"/>
  <c r="M12" i="2" s="1"/>
  <c r="M13" i="2" s="1"/>
  <c r="O2" i="2"/>
  <c r="N4" i="2"/>
  <c r="N6" i="2" s="1"/>
  <c r="N10" i="2" s="1"/>
  <c r="J24" i="2"/>
  <c r="J25" i="2" s="1"/>
  <c r="J29" i="2"/>
  <c r="U5" i="2" l="1"/>
  <c r="N11" i="2"/>
  <c r="N12" i="2" s="1"/>
  <c r="N13" i="2" s="1"/>
  <c r="M28" i="2"/>
  <c r="M18" i="2"/>
  <c r="M19" i="2" s="1"/>
  <c r="M22" i="2" s="1"/>
  <c r="M23" i="2" s="1"/>
  <c r="M24" i="2" s="1"/>
  <c r="O4" i="2"/>
  <c r="O6" i="2" s="1"/>
  <c r="O10" i="2" s="1"/>
  <c r="O11" i="2" s="1"/>
  <c r="P2" i="2"/>
  <c r="V5" i="2" l="1"/>
  <c r="M37" i="2"/>
  <c r="M25" i="2"/>
  <c r="M39" i="2"/>
  <c r="N20" i="2" s="1"/>
  <c r="N28" i="2"/>
  <c r="N18" i="2"/>
  <c r="N19" i="2" s="1"/>
  <c r="N22" i="2" s="1"/>
  <c r="N23" i="2" s="1"/>
  <c r="N24" i="2" s="1"/>
  <c r="N37" i="2" s="1"/>
  <c r="Q2" i="2"/>
  <c r="P4" i="2"/>
  <c r="P6" i="2" s="1"/>
  <c r="P10" i="2" s="1"/>
  <c r="P11" i="2" s="1"/>
  <c r="O12" i="2"/>
  <c r="O13" i="2" s="1"/>
  <c r="M33" i="2" l="1"/>
  <c r="Q4" i="2"/>
  <c r="Q6" i="2" s="1"/>
  <c r="Q10" i="2" s="1"/>
  <c r="Q11" i="2" s="1"/>
  <c r="Q18" i="2" s="1"/>
  <c r="R2" i="2"/>
  <c r="O28" i="2"/>
  <c r="O18" i="2"/>
  <c r="O19" i="2" s="1"/>
  <c r="N33" i="2"/>
  <c r="Q12" i="2"/>
  <c r="Q13" i="2" s="1"/>
  <c r="P12" i="2"/>
  <c r="P13" i="2" s="1"/>
  <c r="N25" i="2"/>
  <c r="N39" i="2"/>
  <c r="Q19" i="2" l="1"/>
  <c r="S2" i="2"/>
  <c r="R4" i="2"/>
  <c r="R6" i="2" s="1"/>
  <c r="R10" i="2" s="1"/>
  <c r="R11" i="2" s="1"/>
  <c r="R28" i="2" s="1"/>
  <c r="P28" i="2"/>
  <c r="Q28" i="2"/>
  <c r="P18" i="2"/>
  <c r="P19" i="2" s="1"/>
  <c r="O20" i="2"/>
  <c r="O22" i="2" s="1"/>
  <c r="O23" i="2" s="1"/>
  <c r="O24" i="2" s="1"/>
  <c r="O37" i="2" s="1"/>
  <c r="R12" i="2" l="1"/>
  <c r="R13" i="2" s="1"/>
  <c r="R18" i="2"/>
  <c r="T2" i="2"/>
  <c r="S4" i="2"/>
  <c r="S6" i="2" s="1"/>
  <c r="S10" i="2" s="1"/>
  <c r="S11" i="2" s="1"/>
  <c r="O33" i="2"/>
  <c r="O39" i="2"/>
  <c r="O25" i="2"/>
  <c r="R19" i="2" l="1"/>
  <c r="S28" i="2"/>
  <c r="S12" i="2"/>
  <c r="S13" i="2" s="1"/>
  <c r="S18" i="2"/>
  <c r="S19" i="2" s="1"/>
  <c r="U2" i="2"/>
  <c r="T4" i="2"/>
  <c r="T6" i="2" s="1"/>
  <c r="T10" i="2" s="1"/>
  <c r="T11" i="2" s="1"/>
  <c r="P20" i="2"/>
  <c r="P22" i="2" s="1"/>
  <c r="P23" i="2" s="1"/>
  <c r="P24" i="2" s="1"/>
  <c r="P37" i="2" s="1"/>
  <c r="T28" i="2" l="1"/>
  <c r="T12" i="2"/>
  <c r="T13" i="2" s="1"/>
  <c r="T18" i="2"/>
  <c r="T19" i="2" s="1"/>
  <c r="V2" i="2"/>
  <c r="V4" i="2" s="1"/>
  <c r="V6" i="2" s="1"/>
  <c r="V10" i="2" s="1"/>
  <c r="V11" i="2" s="1"/>
  <c r="U4" i="2"/>
  <c r="U6" i="2" s="1"/>
  <c r="U10" i="2" s="1"/>
  <c r="U11" i="2" s="1"/>
  <c r="P33" i="2"/>
  <c r="P25" i="2"/>
  <c r="P39" i="2"/>
  <c r="U28" i="2" l="1"/>
  <c r="U12" i="2"/>
  <c r="U13" i="2" s="1"/>
  <c r="U18" i="2"/>
  <c r="V28" i="2"/>
  <c r="V12" i="2"/>
  <c r="V13" i="2" s="1"/>
  <c r="V18" i="2"/>
  <c r="Q20" i="2"/>
  <c r="Q22" i="2" s="1"/>
  <c r="Q23" i="2" s="1"/>
  <c r="Q24" i="2" s="1"/>
  <c r="U19" i="2" l="1"/>
  <c r="V19" i="2"/>
  <c r="Q37" i="2"/>
  <c r="Q39" i="2"/>
  <c r="Q25" i="2"/>
  <c r="R20" i="2" l="1"/>
  <c r="R22" i="2" s="1"/>
  <c r="Q33" i="2"/>
  <c r="R23" i="2" l="1"/>
  <c r="R24" i="2" s="1"/>
  <c r="R25" i="2" l="1"/>
  <c r="R37" i="2"/>
  <c r="R33" i="2" s="1"/>
  <c r="R39" i="2"/>
  <c r="S20" i="2" s="1"/>
  <c r="S22" i="2" s="1"/>
  <c r="S23" i="2" s="1"/>
  <c r="S24" i="2" s="1"/>
  <c r="S37" i="2" l="1"/>
  <c r="S33" i="2" s="1"/>
  <c r="S25" i="2"/>
  <c r="S39" i="2"/>
  <c r="T20" i="2" s="1"/>
  <c r="T22" i="2" s="1"/>
  <c r="T23" i="2" s="1"/>
  <c r="T24" i="2" s="1"/>
  <c r="T37" i="2" l="1"/>
  <c r="T33" i="2" s="1"/>
  <c r="T25" i="2"/>
  <c r="T39" i="2"/>
  <c r="U20" i="2" l="1"/>
  <c r="U22" i="2" s="1"/>
  <c r="U23" i="2" l="1"/>
  <c r="U24" i="2" s="1"/>
  <c r="U37" i="2" s="1"/>
  <c r="U33" i="2" s="1"/>
  <c r="U25" i="2" l="1"/>
  <c r="U39" i="2"/>
  <c r="V20" i="2" s="1"/>
  <c r="V22" i="2" s="1"/>
  <c r="V23" i="2" l="1"/>
  <c r="V24" i="2" s="1"/>
  <c r="V37" i="2" l="1"/>
  <c r="V25" i="2"/>
  <c r="W24" i="2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V39" i="2"/>
  <c r="V33" i="2" l="1"/>
  <c r="W37" i="2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Y30" i="2" l="1"/>
  <c r="Y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tc={B3970247-E22B-49D2-A098-4D7A947BD07E}</author>
  </authors>
  <commentList>
    <comment ref="M11" authorId="0" shapeId="0" xr:uid="{B3970247-E22B-49D2-A098-4D7A947BD07E}">
      <text>
        <t>[Threaded comment]
Your version of Excel allows you to read this threaded comment; however, any edits to it will get removed if the file is opened in a newer version of Excel. Learn more: https://go.microsoft.com/fwlink/?linkid=870924
Comment:
    490</t>
      </text>
    </comment>
  </commentList>
</comments>
</file>

<file path=xl/sharedStrings.xml><?xml version="1.0" encoding="utf-8"?>
<sst xmlns="http://schemas.openxmlformats.org/spreadsheetml/2006/main" count="74" uniqueCount="62">
  <si>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</si>
  <si>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</si>
  <si>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</si>
  <si>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</si>
  <si>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</si>
  <si>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</si>
  <si>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</si>
  <si>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</si>
  <si>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</si>
  <si>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</si>
  <si>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</si>
  <si>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</si>
  <si>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</si>
  <si>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</si>
  <si>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COGS</t>
  </si>
  <si>
    <t>Gross Profit</t>
  </si>
  <si>
    <t>R&amp;D</t>
  </si>
  <si>
    <t>Plasma Center OPEX</t>
  </si>
  <si>
    <t>Amort</t>
  </si>
  <si>
    <t>SG&amp;A</t>
  </si>
  <si>
    <t>Operating Expenses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</si>
  <si>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</si>
  <si>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</si>
  <si>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</si>
  <si>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</si>
  <si>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</si>
  <si>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</si>
  <si>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</si>
  <si>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y/y</t>
  </si>
  <si>
    <t>Tax Rate</t>
  </si>
  <si>
    <t>Gross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</si>
  <si>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</si>
  <si>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</si>
  <si>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</si>
  <si>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</si>
  <si>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</si>
  <si>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</si>
  <si>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</si>
  <si>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</si>
  <si>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</si>
  <si>
    <t>TAM penetration rate</t>
  </si>
  <si>
    <t>Asceniv</t>
  </si>
  <si>
    <t>OPEX Margin</t>
  </si>
  <si>
    <t>FCF Margin</t>
  </si>
  <si>
    <t>SG-001</t>
  </si>
  <si>
    <t>Asceniv TAM</t>
  </si>
  <si>
    <t>Bivigam</t>
  </si>
  <si>
    <t>Nabi-HB</t>
  </si>
  <si>
    <t>Asceniv Revenue</t>
  </si>
  <si>
    <t>Asceniv Cost</t>
  </si>
  <si>
    <t>TAM market cap</t>
  </si>
  <si>
    <t>Name</t>
  </si>
  <si>
    <t>Indication</t>
  </si>
  <si>
    <t>MOA</t>
  </si>
  <si>
    <t>IP</t>
  </si>
  <si>
    <t>Approval</t>
  </si>
  <si>
    <t>Economics</t>
  </si>
  <si>
    <t>Admin</t>
  </si>
  <si>
    <t>Phase</t>
  </si>
  <si>
    <t>Rev</t>
  </si>
  <si>
    <t>Risk-Adjusted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</si>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</sst>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3" fontId="4" fillId="0" borderId="0" xfId="1" applyNumberFormat="1" applyFont="1"/>
    <xf numFmtId="1" fontId="1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3" fontId="3" fillId="0" borderId="0" xfId="0" applyNumberFormat="1" applyFont="1"/>
    <xf numFmtId="10" fontId="1" fillId="0" borderId="0" xfId="0" applyNumberFormat="1" applyFont="1"/>
    <xf numFmtId="9" fontId="3" fillId="0" borderId="0" xfId="0" applyNumberFormat="1" applyFont="1"/>
    <xf numFmtId="3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19050</xdr:colOff>
      <xdr:row>48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8C538D8-2055-A094-6F09-7ABA3158C4FD}"/>
            </a:ext>
          </a:extLst>
        </xdr:cNvPr>
        <xdr:cNvCxnSpPr/>
      </xdr:nvCxnSpPr>
      <xdr:spPr>
        <a:xfrm flipH="1">
          <a:off x="8639175" y="0"/>
          <a:ext cx="19050" cy="9077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0</xdr:row>
      <xdr:rowOff>9525</xdr:rowOff>
    </xdr:from>
    <xdr:to>
      <xdr:col>7</xdr:col>
      <xdr:colOff>0</xdr:colOff>
      <xdr:row>48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E6B39C7-2A49-4B62-8A9B-61820453DB7C}"/>
            </a:ext>
          </a:extLst>
        </xdr:cNvPr>
        <xdr:cNvCxnSpPr/>
      </xdr:nvCxnSpPr>
      <xdr:spPr>
        <a:xfrm flipH="1">
          <a:off x="4400550" y="9525"/>
          <a:ext cx="3810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632E7881-54C3-4906-ABFE-AE9215405C4F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1" dT="2025-05-10T01:03:52.40" personId="{632E7881-54C3-4906-ABFE-AE9215405C4F}" id="{B3970247-E22B-49D2-A098-4D7A947BD07E}">
    <text>490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2945-0EEE-41F9-8D71-33E0ABE714D8}">
  <dimension ref="A1:Q12"/>
  <sheetViews>
    <sheetView zoomScale="115" zoomScaleNormal="115" workbookViewId="0">
      <selection activeCell="P2" sqref="P2"/>
    </sheetView>
  </sheetViews>
  <sheetFormatPr defaultRowHeight="12.75" x14ac:dyDescent="0.2"/>
  <cols>
    <col min="1" max="1" width="3.125" style="4" customWidth="1"/>
    <col min="2" max="16384" width="9" style="4"/>
  </cols>
  <sheetData>
    <row r="1" spans="1:17" x14ac:dyDescent="0.2">
      <c r="A1" s="3"/>
    </row>
    <row r="2" spans="1:17" x14ac:dyDescent="0.2">
      <c r="O2" s="4" t="s">
        <v>0</v>
      </c>
      <c r="P2" s="9">
        <v>20.8</v>
      </c>
    </row>
    <row r="3" spans="1:17" x14ac:dyDescent="0.2">
      <c r="C3" s="22" t="s">
        <v>51</v>
      </c>
      <c r="D3" s="23" t="s">
        <v>52</v>
      </c>
      <c r="E3" s="23" t="s">
        <v>55</v>
      </c>
      <c r="F3" s="23" t="s">
        <v>53</v>
      </c>
      <c r="G3" s="23" t="s">
        <v>56</v>
      </c>
      <c r="H3" s="23" t="s">
        <v>57</v>
      </c>
      <c r="I3" s="24" t="s">
        <v>54</v>
      </c>
      <c r="O3" s="4" t="s">
        <v>1</v>
      </c>
      <c r="P3" s="5">
        <v>238.73400000000001</v>
      </c>
      <c r="Q3" s="4" t="s">
        <v>6</v>
      </c>
    </row>
    <row r="4" spans="1:17" x14ac:dyDescent="0.2">
      <c r="C4" s="13" t="s">
        <v>47</v>
      </c>
      <c r="I4" s="14"/>
      <c r="O4" s="4" t="s">
        <v>2</v>
      </c>
      <c r="P4" s="5">
        <f>P3*P2</f>
        <v>4965.6672000000008</v>
      </c>
    </row>
    <row r="5" spans="1:17" x14ac:dyDescent="0.2">
      <c r="C5" s="13" t="s">
        <v>46</v>
      </c>
      <c r="I5" s="14"/>
      <c r="O5" s="4" t="s">
        <v>3</v>
      </c>
      <c r="P5" s="5">
        <v>71.625</v>
      </c>
      <c r="Q5" s="4" t="s">
        <v>6</v>
      </c>
    </row>
    <row r="6" spans="1:17" x14ac:dyDescent="0.2">
      <c r="C6" s="13" t="s">
        <v>41</v>
      </c>
      <c r="I6" s="14"/>
      <c r="O6" s="4" t="s">
        <v>4</v>
      </c>
      <c r="P6" s="5">
        <f>72.53+1.5+1.3+8.3</f>
        <v>83.63</v>
      </c>
      <c r="Q6" s="4" t="s">
        <v>6</v>
      </c>
    </row>
    <row r="7" spans="1:17" x14ac:dyDescent="0.2">
      <c r="C7" s="18"/>
      <c r="D7" s="19"/>
      <c r="E7" s="23" t="s">
        <v>58</v>
      </c>
      <c r="F7" s="19"/>
      <c r="G7" s="19"/>
      <c r="H7" s="19"/>
      <c r="I7" s="20"/>
      <c r="O7" s="4" t="s">
        <v>5</v>
      </c>
      <c r="P7" s="5">
        <f>P4+P6-P5</f>
        <v>4977.6722000000009</v>
      </c>
    </row>
    <row r="8" spans="1:17" x14ac:dyDescent="0.2">
      <c r="C8" s="21" t="s">
        <v>44</v>
      </c>
      <c r="I8" s="14"/>
    </row>
    <row r="9" spans="1:17" x14ac:dyDescent="0.2">
      <c r="C9" s="21"/>
      <c r="I9" s="14"/>
    </row>
    <row r="10" spans="1:17" x14ac:dyDescent="0.2">
      <c r="C10" s="21"/>
      <c r="I10" s="14"/>
    </row>
    <row r="11" spans="1:17" x14ac:dyDescent="0.2">
      <c r="C11" s="21"/>
      <c r="I11" s="14"/>
    </row>
    <row r="12" spans="1:17" x14ac:dyDescent="0.2">
      <c r="C12" s="15"/>
      <c r="D12" s="16"/>
      <c r="E12" s="16"/>
      <c r="F12" s="16"/>
      <c r="G12" s="16"/>
      <c r="H12" s="16"/>
      <c r="I1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4FA2-4BF0-43D7-A899-AF9ED02D209D}">
  <dimension ref="A1:DH43"/>
  <sheetViews>
    <sheetView tabSelected="1" zoomScale="130" zoomScaleNormal="130" workbookViewId="0">
      <pane xSplit="2" ySplit="1" topLeftCell="P10" activePane="bottomRight" state="frozen"/>
      <selection pane="topRight" activeCell="C1" sqref="C1"/>
      <selection pane="bottomLeft" activeCell="A2" sqref="A2"/>
      <selection pane="bottomRight" activeCell="Y29" sqref="Y29"/>
    </sheetView>
  </sheetViews>
  <sheetFormatPr defaultRowHeight="12.75" x14ac:dyDescent="0.2"/>
  <cols>
    <col min="1" max="1" width="4.25" style="5" customWidth="1"/>
    <col min="2" max="2" width="18.25" style="5" customWidth="1"/>
    <col min="3" max="11" width="9" style="5"/>
    <col min="12" max="12" width="9.875" style="5" customWidth="1"/>
    <col min="13" max="16384" width="9" style="5"/>
  </cols>
  <sheetData>
    <row r="1" spans="1:22" x14ac:dyDescent="0.2">
      <c r="A1" s="6" t="s">
        <v>7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6</v>
      </c>
      <c r="H1" s="5" t="s">
        <v>13</v>
      </c>
      <c r="J1" s="7">
        <v>2022</v>
      </c>
      <c r="K1" s="7">
        <f>J1+1</f>
        <v>2023</v>
      </c>
      <c r="L1" s="7">
        <f t="shared" ref="L1:V1" si="0">K1+1</f>
        <v>2024</v>
      </c>
      <c r="M1" s="7">
        <f t="shared" si="0"/>
        <v>2025</v>
      </c>
      <c r="N1" s="7">
        <f t="shared" si="0"/>
        <v>2026</v>
      </c>
      <c r="O1" s="7">
        <f t="shared" si="0"/>
        <v>2027</v>
      </c>
      <c r="P1" s="7">
        <f t="shared" si="0"/>
        <v>2028</v>
      </c>
      <c r="Q1" s="7">
        <f t="shared" si="0"/>
        <v>2029</v>
      </c>
      <c r="R1" s="7">
        <f t="shared" si="0"/>
        <v>2030</v>
      </c>
      <c r="S1" s="7">
        <f t="shared" si="0"/>
        <v>2031</v>
      </c>
      <c r="T1" s="7">
        <f t="shared" si="0"/>
        <v>2032</v>
      </c>
      <c r="U1" s="7">
        <f t="shared" si="0"/>
        <v>2033</v>
      </c>
      <c r="V1" s="7">
        <f t="shared" si="0"/>
        <v>2034</v>
      </c>
    </row>
    <row r="2" spans="1:22" x14ac:dyDescent="0.2">
      <c r="A2" s="6"/>
      <c r="B2" s="5" t="s">
        <v>45</v>
      </c>
      <c r="J2" s="7"/>
      <c r="K2" s="7"/>
      <c r="L2" s="5">
        <v>25000</v>
      </c>
      <c r="M2" s="5">
        <f>L2*1.07</f>
        <v>26750</v>
      </c>
      <c r="N2" s="5">
        <f t="shared" ref="N2:Q2" si="1">M2*1.07</f>
        <v>28622.5</v>
      </c>
      <c r="O2" s="5">
        <f t="shared" si="1"/>
        <v>30626.075000000001</v>
      </c>
      <c r="P2" s="5">
        <f t="shared" si="1"/>
        <v>32769.900250000006</v>
      </c>
      <c r="Q2" s="5">
        <f t="shared" si="1"/>
        <v>35063.793267500012</v>
      </c>
      <c r="R2" s="5">
        <f t="shared" ref="R2" si="2">Q2*1.07</f>
        <v>37518.258796225018</v>
      </c>
      <c r="S2" s="5">
        <f t="shared" ref="S2" si="3">R2*1.07</f>
        <v>40144.536911960771</v>
      </c>
      <c r="T2" s="5">
        <f t="shared" ref="T2" si="4">S2*1.07</f>
        <v>42954.65449579803</v>
      </c>
      <c r="U2" s="5">
        <f t="shared" ref="U2" si="5">T2*1.07</f>
        <v>45961.480310503895</v>
      </c>
      <c r="V2" s="5">
        <f t="shared" ref="V2" si="6">U2*1.07</f>
        <v>49178.783932239174</v>
      </c>
    </row>
    <row r="3" spans="1:22" x14ac:dyDescent="0.2">
      <c r="A3" s="6"/>
      <c r="B3" s="5" t="s">
        <v>40</v>
      </c>
      <c r="J3" s="7"/>
      <c r="K3" s="7"/>
      <c r="L3" s="8">
        <v>0.03</v>
      </c>
      <c r="M3" s="8">
        <f>L3*8</f>
        <v>0.24</v>
      </c>
      <c r="N3" s="8">
        <f>M3*3</f>
        <v>0.72</v>
      </c>
      <c r="O3" s="8">
        <f>N3*1.03</f>
        <v>0.74160000000000004</v>
      </c>
      <c r="P3" s="8">
        <f t="shared" ref="P3:V3" si="7">O3*1.03</f>
        <v>0.76384800000000008</v>
      </c>
      <c r="Q3" s="8">
        <f t="shared" si="7"/>
        <v>0.78676344000000009</v>
      </c>
      <c r="R3" s="8">
        <f t="shared" si="7"/>
        <v>0.81036634320000012</v>
      </c>
      <c r="S3" s="8">
        <f t="shared" si="7"/>
        <v>0.83467733349600015</v>
      </c>
      <c r="T3" s="8">
        <f t="shared" si="7"/>
        <v>0.85971765350088014</v>
      </c>
      <c r="U3" s="8">
        <f t="shared" si="7"/>
        <v>0.88550918310590654</v>
      </c>
      <c r="V3" s="8">
        <f t="shared" si="7"/>
        <v>0.91207445859908376</v>
      </c>
    </row>
    <row r="4" spans="1:22" x14ac:dyDescent="0.2">
      <c r="A4" s="6"/>
      <c r="B4" s="5" t="s">
        <v>50</v>
      </c>
      <c r="J4" s="7"/>
      <c r="K4" s="7"/>
      <c r="L4" s="5">
        <f t="shared" ref="L4:Q4" si="8">L2*L5/1000000</f>
        <v>125</v>
      </c>
      <c r="M4" s="5">
        <f t="shared" si="8"/>
        <v>136.42500000000001</v>
      </c>
      <c r="N4" s="5">
        <f t="shared" si="8"/>
        <v>148.89424500000001</v>
      </c>
      <c r="O4" s="5">
        <f t="shared" si="8"/>
        <v>162.50317899300001</v>
      </c>
      <c r="P4" s="5">
        <f t="shared" si="8"/>
        <v>177.3559695529602</v>
      </c>
      <c r="Q4" s="5">
        <f t="shared" si="8"/>
        <v>193.5663051701008</v>
      </c>
      <c r="R4" s="5">
        <f t="shared" ref="R4" si="9">R2*R5/1000000</f>
        <v>211.25826546264807</v>
      </c>
      <c r="S4" s="5">
        <f t="shared" ref="S4" si="10">S2*S5/1000000</f>
        <v>230.56727092593411</v>
      </c>
      <c r="T4" s="5">
        <f t="shared" ref="T4" si="11">T2*T5/1000000</f>
        <v>251.64111948856453</v>
      </c>
      <c r="U4" s="5">
        <f t="shared" ref="U4" si="12">U2*U5/1000000</f>
        <v>274.64111780981932</v>
      </c>
      <c r="V4" s="5">
        <f t="shared" ref="V4" si="13">V2*V5/1000000</f>
        <v>299.74331597763688</v>
      </c>
    </row>
    <row r="5" spans="1:22" x14ac:dyDescent="0.2">
      <c r="A5" s="6"/>
      <c r="B5" s="5" t="s">
        <v>49</v>
      </c>
      <c r="J5" s="7"/>
      <c r="K5" s="7"/>
      <c r="L5" s="5">
        <v>5000</v>
      </c>
      <c r="M5" s="5">
        <f>L5*1.02</f>
        <v>5100</v>
      </c>
      <c r="N5" s="5">
        <f t="shared" ref="N5:V5" si="14">M5*1.02</f>
        <v>5202</v>
      </c>
      <c r="O5" s="5">
        <f t="shared" si="14"/>
        <v>5306.04</v>
      </c>
      <c r="P5" s="5">
        <f t="shared" si="14"/>
        <v>5412.1607999999997</v>
      </c>
      <c r="Q5" s="5">
        <f t="shared" si="14"/>
        <v>5520.4040159999995</v>
      </c>
      <c r="R5" s="5">
        <f t="shared" si="14"/>
        <v>5630.8120963199999</v>
      </c>
      <c r="S5" s="5">
        <f t="shared" si="14"/>
        <v>5743.4283382464</v>
      </c>
      <c r="T5" s="5">
        <f t="shared" si="14"/>
        <v>5858.2969050113279</v>
      </c>
      <c r="U5" s="5">
        <f t="shared" si="14"/>
        <v>5975.4628431115543</v>
      </c>
      <c r="V5" s="5">
        <f t="shared" si="14"/>
        <v>6094.9720999737856</v>
      </c>
    </row>
    <row r="6" spans="1:22" x14ac:dyDescent="0.2">
      <c r="A6" s="6"/>
      <c r="B6" s="5" t="s">
        <v>48</v>
      </c>
      <c r="J6" s="7"/>
      <c r="K6" s="7"/>
      <c r="L6" s="5">
        <f t="shared" ref="L6:Q6" si="15">L4*L3</f>
        <v>3.75</v>
      </c>
      <c r="M6" s="5">
        <f t="shared" si="15"/>
        <v>32.742000000000004</v>
      </c>
      <c r="N6" s="5">
        <f t="shared" si="15"/>
        <v>107.20385640000001</v>
      </c>
      <c r="O6" s="5">
        <f t="shared" si="15"/>
        <v>120.51235754120881</v>
      </c>
      <c r="P6" s="5">
        <f t="shared" si="15"/>
        <v>135.47300263108957</v>
      </c>
      <c r="Q6" s="5">
        <f t="shared" si="15"/>
        <v>152.29089212371832</v>
      </c>
      <c r="R6" s="5">
        <f t="shared" ref="R6:V6" si="16">R4*R3</f>
        <v>171.19658805374101</v>
      </c>
      <c r="S6" s="5">
        <f t="shared" si="16"/>
        <v>192.44927488790853</v>
      </c>
      <c r="T6" s="5">
        <f t="shared" si="16"/>
        <v>216.3403127710433</v>
      </c>
      <c r="U6" s="5">
        <f t="shared" si="16"/>
        <v>243.19723187906615</v>
      </c>
      <c r="V6" s="5">
        <f t="shared" si="16"/>
        <v>273.38822263899726</v>
      </c>
    </row>
    <row r="7" spans="1:22" x14ac:dyDescent="0.2">
      <c r="A7" s="6"/>
      <c r="J7" s="7"/>
      <c r="K7" s="7"/>
    </row>
    <row r="8" spans="1:22" x14ac:dyDescent="0.2">
      <c r="A8" s="6"/>
      <c r="B8" s="5" t="s">
        <v>47</v>
      </c>
      <c r="J8" s="7"/>
      <c r="K8" s="7"/>
      <c r="L8" s="5">
        <v>50</v>
      </c>
      <c r="M8" s="7">
        <f>L8*1.6</f>
        <v>80</v>
      </c>
      <c r="N8" s="7">
        <f>M8*1.6</f>
        <v>128</v>
      </c>
      <c r="O8" s="7">
        <f>N8*1.6</f>
        <v>204.8</v>
      </c>
      <c r="P8" s="7">
        <f t="shared" ref="P8" si="17">O8*1.07</f>
        <v>219.13600000000002</v>
      </c>
      <c r="Q8" s="7">
        <f t="shared" ref="Q8" si="18">P8*1.07</f>
        <v>234.47552000000005</v>
      </c>
      <c r="R8" s="7">
        <f t="shared" ref="R8" si="19">Q8*1.07</f>
        <v>250.88880640000005</v>
      </c>
      <c r="S8" s="7">
        <f t="shared" ref="S8" si="20">R8*1.07</f>
        <v>268.45102284800009</v>
      </c>
      <c r="T8" s="7">
        <f t="shared" ref="T8" si="21">S8*1.07</f>
        <v>287.24259444736009</v>
      </c>
      <c r="U8" s="7">
        <f t="shared" ref="U8" si="22">T8*1.07</f>
        <v>307.34957605867532</v>
      </c>
      <c r="V8" s="7">
        <f t="shared" ref="V8" si="23">U8*1.07</f>
        <v>328.86404638278259</v>
      </c>
    </row>
    <row r="9" spans="1:22" x14ac:dyDescent="0.2">
      <c r="A9" s="6"/>
      <c r="B9" s="5" t="s">
        <v>46</v>
      </c>
      <c r="J9" s="7"/>
      <c r="K9" s="7"/>
      <c r="L9" s="5">
        <f>L11-L8-L10</f>
        <v>372.7</v>
      </c>
      <c r="M9" s="7">
        <f>L9*1.1</f>
        <v>409.97</v>
      </c>
      <c r="N9" s="7">
        <f>M9*1.1</f>
        <v>450.96700000000004</v>
      </c>
      <c r="O9" s="7">
        <f>N9*1.1</f>
        <v>496.0637000000001</v>
      </c>
      <c r="P9" s="7">
        <f t="shared" ref="P9" si="24">O9*1.07</f>
        <v>530.78815900000018</v>
      </c>
      <c r="Q9" s="7">
        <f t="shared" ref="Q9" si="25">P9*1.07</f>
        <v>567.94333013000028</v>
      </c>
      <c r="R9" s="7">
        <f t="shared" ref="R9:V9" si="26">Q9*1.07</f>
        <v>607.69936323910031</v>
      </c>
      <c r="S9" s="7">
        <f t="shared" si="26"/>
        <v>650.23831866583737</v>
      </c>
      <c r="T9" s="7">
        <f t="shared" si="26"/>
        <v>695.75500097244606</v>
      </c>
      <c r="U9" s="7">
        <f t="shared" si="26"/>
        <v>744.45785104051731</v>
      </c>
      <c r="V9" s="7">
        <f t="shared" si="26"/>
        <v>796.56990061335352</v>
      </c>
    </row>
    <row r="10" spans="1:22" x14ac:dyDescent="0.2">
      <c r="A10" s="6"/>
      <c r="B10" s="5" t="s">
        <v>41</v>
      </c>
      <c r="J10" s="7"/>
      <c r="K10" s="7"/>
      <c r="L10" s="7">
        <f t="shared" ref="L10:V10" si="27">L6</f>
        <v>3.75</v>
      </c>
      <c r="M10" s="7">
        <f t="shared" si="27"/>
        <v>32.742000000000004</v>
      </c>
      <c r="N10" s="7">
        <f t="shared" si="27"/>
        <v>107.20385640000001</v>
      </c>
      <c r="O10" s="7">
        <f t="shared" si="27"/>
        <v>120.51235754120881</v>
      </c>
      <c r="P10" s="7">
        <f t="shared" si="27"/>
        <v>135.47300263108957</v>
      </c>
      <c r="Q10" s="7">
        <f t="shared" si="27"/>
        <v>152.29089212371832</v>
      </c>
      <c r="R10" s="7">
        <f t="shared" si="27"/>
        <v>171.19658805374101</v>
      </c>
      <c r="S10" s="7">
        <f t="shared" si="27"/>
        <v>192.44927488790853</v>
      </c>
      <c r="T10" s="7">
        <f t="shared" si="27"/>
        <v>216.3403127710433</v>
      </c>
      <c r="U10" s="7">
        <f t="shared" si="27"/>
        <v>243.19723187906615</v>
      </c>
      <c r="V10" s="7">
        <f t="shared" si="27"/>
        <v>273.38822263899726</v>
      </c>
    </row>
    <row r="11" spans="1:22" s="10" customFormat="1" x14ac:dyDescent="0.2">
      <c r="A11" s="5"/>
      <c r="B11" s="10" t="s">
        <v>8</v>
      </c>
      <c r="J11" s="10">
        <v>154.1</v>
      </c>
      <c r="K11" s="10">
        <v>258.2</v>
      </c>
      <c r="L11" s="10">
        <v>426.45</v>
      </c>
      <c r="M11" s="10">
        <f t="shared" ref="M11:V11" si="28">SUM(M8:M10)</f>
        <v>522.71199999999999</v>
      </c>
      <c r="N11" s="10">
        <f t="shared" si="28"/>
        <v>686.17085640000005</v>
      </c>
      <c r="O11" s="10">
        <f t="shared" si="28"/>
        <v>821.37605754120887</v>
      </c>
      <c r="P11" s="10">
        <f t="shared" si="28"/>
        <v>885.39716163108972</v>
      </c>
      <c r="Q11" s="10">
        <f t="shared" si="28"/>
        <v>954.70974225371867</v>
      </c>
      <c r="R11" s="10">
        <f t="shared" si="28"/>
        <v>1029.7847576928414</v>
      </c>
      <c r="S11" s="10">
        <f t="shared" si="28"/>
        <v>1111.138616401746</v>
      </c>
      <c r="T11" s="10">
        <f t="shared" si="28"/>
        <v>1199.3379081908495</v>
      </c>
      <c r="U11" s="10">
        <f t="shared" si="28"/>
        <v>1295.0046589782587</v>
      </c>
      <c r="V11" s="10">
        <f t="shared" si="28"/>
        <v>1398.8221696351334</v>
      </c>
    </row>
    <row r="12" spans="1:22" x14ac:dyDescent="0.2">
      <c r="B12" s="5" t="s">
        <v>14</v>
      </c>
      <c r="J12" s="5">
        <v>118.8</v>
      </c>
      <c r="K12" s="5">
        <v>169.3</v>
      </c>
      <c r="L12" s="5">
        <v>206.9</v>
      </c>
      <c r="M12" s="5">
        <f>M11*(1-M31)</f>
        <v>188.17631999999998</v>
      </c>
      <c r="N12" s="5">
        <f t="shared" ref="N12:Q12" si="29">N11*(1-N31)</f>
        <v>225.06404089919999</v>
      </c>
      <c r="O12" s="5">
        <f t="shared" si="29"/>
        <v>263.89169976683951</v>
      </c>
      <c r="P12" s="5">
        <f t="shared" si="29"/>
        <v>278.45103247341387</v>
      </c>
      <c r="Q12" s="5">
        <f t="shared" si="29"/>
        <v>293.70473600639951</v>
      </c>
      <c r="R12" s="5">
        <f t="shared" ref="R12:V12" si="30">R11*(1-R31)</f>
        <v>309.67080204058425</v>
      </c>
      <c r="S12" s="5">
        <f t="shared" si="30"/>
        <v>326.36501925802361</v>
      </c>
      <c r="T12" s="5">
        <f t="shared" si="30"/>
        <v>343.80035633776077</v>
      </c>
      <c r="U12" s="5">
        <f t="shared" si="30"/>
        <v>361.98623348349531</v>
      </c>
      <c r="V12" s="5">
        <f t="shared" si="30"/>
        <v>380.92766423407386</v>
      </c>
    </row>
    <row r="13" spans="1:22" x14ac:dyDescent="0.2">
      <c r="B13" s="5" t="s">
        <v>15</v>
      </c>
      <c r="J13" s="5">
        <f>J11-J12</f>
        <v>35.299999999999997</v>
      </c>
      <c r="K13" s="5">
        <f t="shared" ref="K13:L13" si="31">K11-K12</f>
        <v>88.899999999999977</v>
      </c>
      <c r="L13" s="5">
        <f t="shared" si="31"/>
        <v>219.54999999999998</v>
      </c>
      <c r="M13" s="5">
        <f t="shared" ref="M13" si="32">M11-M12</f>
        <v>334.53568000000001</v>
      </c>
      <c r="N13" s="5">
        <f t="shared" ref="N13" si="33">N11-N12</f>
        <v>461.10681550080005</v>
      </c>
      <c r="O13" s="5">
        <f t="shared" ref="O13" si="34">O11-O12</f>
        <v>557.4843577743693</v>
      </c>
      <c r="P13" s="5">
        <f t="shared" ref="P13" si="35">P11-P12</f>
        <v>606.94612915767584</v>
      </c>
      <c r="Q13" s="5">
        <f t="shared" ref="Q13" si="36">Q11-Q12</f>
        <v>661.00500624731922</v>
      </c>
      <c r="R13" s="5">
        <f t="shared" ref="R13:V13" si="37">R11-R12</f>
        <v>720.11395565225712</v>
      </c>
      <c r="S13" s="5">
        <f t="shared" si="37"/>
        <v>784.77359714372244</v>
      </c>
      <c r="T13" s="5">
        <f t="shared" si="37"/>
        <v>855.53755185308864</v>
      </c>
      <c r="U13" s="5">
        <f t="shared" si="37"/>
        <v>933.01842549476339</v>
      </c>
      <c r="V13" s="5">
        <f t="shared" si="37"/>
        <v>1017.8945054010595</v>
      </c>
    </row>
    <row r="14" spans="1:22" x14ac:dyDescent="0.2">
      <c r="B14" s="5" t="s">
        <v>16</v>
      </c>
      <c r="J14" s="5">
        <v>3.6139999999999999</v>
      </c>
      <c r="K14" s="5">
        <v>3.3</v>
      </c>
      <c r="L14" s="5">
        <v>1.8129999999999999</v>
      </c>
    </row>
    <row r="15" spans="1:22" x14ac:dyDescent="0.2">
      <c r="B15" s="5" t="s">
        <v>17</v>
      </c>
      <c r="J15" s="5">
        <v>17.84</v>
      </c>
      <c r="K15" s="5">
        <v>4.3</v>
      </c>
      <c r="L15" s="5">
        <v>4.25</v>
      </c>
      <c r="M15" s="5">
        <f>L15*1.03</f>
        <v>4.3775000000000004</v>
      </c>
      <c r="N15" s="5">
        <f t="shared" ref="N15:V15" si="38">M15*1.03</f>
        <v>4.5088250000000007</v>
      </c>
      <c r="O15" s="5">
        <f t="shared" si="38"/>
        <v>4.6440897500000009</v>
      </c>
      <c r="P15" s="5">
        <f t="shared" si="38"/>
        <v>4.7834124425000013</v>
      </c>
      <c r="Q15" s="5">
        <f t="shared" si="38"/>
        <v>4.9269148157750013</v>
      </c>
      <c r="R15" s="5">
        <f t="shared" si="38"/>
        <v>5.0747222602482518</v>
      </c>
      <c r="S15" s="5">
        <f t="shared" si="38"/>
        <v>5.2269639280556994</v>
      </c>
      <c r="T15" s="5">
        <f t="shared" si="38"/>
        <v>5.3837728458973704</v>
      </c>
      <c r="U15" s="5">
        <f t="shared" si="38"/>
        <v>5.5452860312742915</v>
      </c>
      <c r="V15" s="5">
        <f t="shared" si="38"/>
        <v>5.7116446122125204</v>
      </c>
    </row>
    <row r="16" spans="1:22" x14ac:dyDescent="0.2">
      <c r="B16" s="5" t="s">
        <v>18</v>
      </c>
      <c r="J16" s="5">
        <v>0.7</v>
      </c>
      <c r="K16" s="5">
        <v>0.7</v>
      </c>
      <c r="L16" s="5">
        <v>0.4</v>
      </c>
    </row>
    <row r="17" spans="1:112" x14ac:dyDescent="0.2">
      <c r="B17" s="5" t="s">
        <v>19</v>
      </c>
      <c r="J17" s="5">
        <v>52.5</v>
      </c>
      <c r="K17" s="5">
        <v>59</v>
      </c>
      <c r="L17" s="5">
        <v>74.099999999999994</v>
      </c>
    </row>
    <row r="18" spans="1:112" x14ac:dyDescent="0.2">
      <c r="B18" s="5" t="s">
        <v>20</v>
      </c>
      <c r="J18" s="5">
        <f>SUM(J14:J17)</f>
        <v>74.653999999999996</v>
      </c>
      <c r="K18" s="5">
        <f t="shared" ref="K18:L18" si="39">SUM(K14:K17)</f>
        <v>67.3</v>
      </c>
      <c r="L18" s="5">
        <f t="shared" si="39"/>
        <v>80.562999999999988</v>
      </c>
      <c r="M18" s="5">
        <f>M11*M32</f>
        <v>96.773412871098586</v>
      </c>
      <c r="N18" s="5">
        <f t="shared" ref="N18:Q18" si="40">N11*N32</f>
        <v>124.4950061884599</v>
      </c>
      <c r="O18" s="5">
        <f t="shared" si="40"/>
        <v>146.04536477266899</v>
      </c>
      <c r="P18" s="5">
        <f t="shared" si="40"/>
        <v>154.28010988006986</v>
      </c>
      <c r="Q18" s="5">
        <f t="shared" si="40"/>
        <v>163.0306440036353</v>
      </c>
      <c r="R18" s="5">
        <f t="shared" ref="R18:V18" si="41">R11*R32</f>
        <v>175.85080030237592</v>
      </c>
      <c r="S18" s="5">
        <f t="shared" si="41"/>
        <v>189.74316087071369</v>
      </c>
      <c r="T18" s="5">
        <f t="shared" si="41"/>
        <v>204.80447920093007</v>
      </c>
      <c r="U18" s="5">
        <f t="shared" si="41"/>
        <v>221.14097531103442</v>
      </c>
      <c r="V18" s="5">
        <f t="shared" si="41"/>
        <v>238.86933281295939</v>
      </c>
    </row>
    <row r="19" spans="1:112" x14ac:dyDescent="0.2">
      <c r="B19" s="5" t="s">
        <v>21</v>
      </c>
      <c r="J19" s="5">
        <f>J13-J18</f>
        <v>-39.353999999999999</v>
      </c>
      <c r="K19" s="5">
        <f t="shared" ref="K19:L19" si="42">K13-K18</f>
        <v>21.59999999999998</v>
      </c>
      <c r="L19" s="5">
        <f t="shared" si="42"/>
        <v>138.98699999999999</v>
      </c>
      <c r="M19" s="5">
        <f t="shared" ref="M19" si="43">M13-M18</f>
        <v>237.76226712890144</v>
      </c>
      <c r="N19" s="5">
        <f t="shared" ref="N19" si="44">N13-N18</f>
        <v>336.61180931234014</v>
      </c>
      <c r="O19" s="5">
        <f t="shared" ref="O19" si="45">O13-O18</f>
        <v>411.43899300170028</v>
      </c>
      <c r="P19" s="5">
        <f t="shared" ref="P19" si="46">P13-P18</f>
        <v>452.66601927760598</v>
      </c>
      <c r="Q19" s="5">
        <f t="shared" ref="Q19" si="47">Q13-Q18</f>
        <v>497.97436224368391</v>
      </c>
      <c r="R19" s="5">
        <f t="shared" ref="R19:V19" si="48">R13-R18</f>
        <v>544.26315534988123</v>
      </c>
      <c r="S19" s="5">
        <f t="shared" si="48"/>
        <v>595.03043627300872</v>
      </c>
      <c r="T19" s="5">
        <f t="shared" si="48"/>
        <v>650.73307265215863</v>
      </c>
      <c r="U19" s="5">
        <f t="shared" si="48"/>
        <v>711.87745018372902</v>
      </c>
      <c r="V19" s="5">
        <f t="shared" si="48"/>
        <v>779.02517258810008</v>
      </c>
    </row>
    <row r="20" spans="1:112" x14ac:dyDescent="0.2">
      <c r="B20" s="5" t="s">
        <v>22</v>
      </c>
      <c r="J20" s="5">
        <v>4.4999999999999998E-2</v>
      </c>
      <c r="K20" s="5">
        <v>1.62</v>
      </c>
      <c r="L20" s="5">
        <v>2.1</v>
      </c>
      <c r="M20" s="5">
        <f>L39*$Y$26</f>
        <v>0.38180000000000008</v>
      </c>
      <c r="N20" s="5">
        <f>M39*$Y$26</f>
        <v>4.144476260636643</v>
      </c>
      <c r="O20" s="5">
        <f>N39*$Y$26</f>
        <v>9.5284255726896756</v>
      </c>
      <c r="P20" s="5">
        <f>O39*$Y$26</f>
        <v>16.179710786165039</v>
      </c>
      <c r="Q20" s="5">
        <f>P39*$Y$26</f>
        <v>23.58747332117262</v>
      </c>
      <c r="R20" s="5">
        <f t="shared" ref="R20:V20" si="49">Q39*$Y$26</f>
        <v>31.828150323097354</v>
      </c>
      <c r="S20" s="5">
        <f t="shared" si="49"/>
        <v>40.930392952730415</v>
      </c>
      <c r="T20" s="5">
        <f t="shared" si="49"/>
        <v>50.978574054497095</v>
      </c>
      <c r="U20" s="5">
        <f t="shared" si="49"/>
        <v>62.065618072462257</v>
      </c>
      <c r="V20" s="5">
        <f t="shared" si="49"/>
        <v>74.293918550910078</v>
      </c>
    </row>
    <row r="21" spans="1:112" x14ac:dyDescent="0.2">
      <c r="B21" s="5" t="s">
        <v>23</v>
      </c>
      <c r="J21" s="5">
        <v>19.3</v>
      </c>
      <c r="K21" s="5">
        <v>25</v>
      </c>
      <c r="L21" s="5">
        <v>14</v>
      </c>
    </row>
    <row r="22" spans="1:112" x14ac:dyDescent="0.2">
      <c r="B22" s="5" t="s">
        <v>24</v>
      </c>
      <c r="J22" s="5">
        <f>J19+J20-J21</f>
        <v>-58.608999999999995</v>
      </c>
      <c r="K22" s="5">
        <f t="shared" ref="K22:L22" si="50">K19+K20-K21</f>
        <v>-1.7800000000000189</v>
      </c>
      <c r="L22" s="5">
        <f t="shared" si="50"/>
        <v>127.08699999999999</v>
      </c>
      <c r="M22" s="5">
        <f>M19+M20-M21</f>
        <v>238.14406712890144</v>
      </c>
      <c r="N22" s="5">
        <f>N19+N20-N21</f>
        <v>340.75628557297676</v>
      </c>
      <c r="O22" s="5">
        <f>O19+O20-O21</f>
        <v>420.96741857438997</v>
      </c>
      <c r="P22" s="5">
        <f>P19+P20-P21</f>
        <v>468.84573006377104</v>
      </c>
      <c r="Q22" s="5">
        <f>Q19+Q20-Q21</f>
        <v>521.56183556485655</v>
      </c>
      <c r="R22" s="5">
        <f t="shared" ref="R22:V22" si="51">R19+R20-R21</f>
        <v>576.09130567297859</v>
      </c>
      <c r="S22" s="5">
        <f t="shared" si="51"/>
        <v>635.96082922573919</v>
      </c>
      <c r="T22" s="5">
        <f t="shared" si="51"/>
        <v>701.71164670665576</v>
      </c>
      <c r="U22" s="5">
        <f t="shared" si="51"/>
        <v>773.94306825619128</v>
      </c>
      <c r="V22" s="5">
        <f t="shared" si="51"/>
        <v>853.3190911390102</v>
      </c>
    </row>
    <row r="23" spans="1:112" x14ac:dyDescent="0.2">
      <c r="B23" s="5" t="s">
        <v>25</v>
      </c>
      <c r="J23" s="5">
        <v>0</v>
      </c>
      <c r="K23" s="5">
        <v>0</v>
      </c>
      <c r="L23" s="5">
        <v>-72</v>
      </c>
      <c r="M23" s="5">
        <f>M22*M29</f>
        <v>50.0102540970693</v>
      </c>
      <c r="N23" s="5">
        <f t="shared" ref="N23:Q23" si="52">N22*N29</f>
        <v>71.558819970325118</v>
      </c>
      <c r="O23" s="5">
        <f t="shared" si="52"/>
        <v>88.403157900621892</v>
      </c>
      <c r="P23" s="5">
        <f t="shared" si="52"/>
        <v>98.457603313391914</v>
      </c>
      <c r="Q23" s="5">
        <f t="shared" si="52"/>
        <v>109.52798546861987</v>
      </c>
      <c r="R23" s="5">
        <f t="shared" ref="R23:V23" si="53">R22*R29</f>
        <v>120.9791741913255</v>
      </c>
      <c r="S23" s="5">
        <f t="shared" si="53"/>
        <v>133.55177413740523</v>
      </c>
      <c r="T23" s="5">
        <f t="shared" si="53"/>
        <v>147.35944580839771</v>
      </c>
      <c r="U23" s="5">
        <f t="shared" si="53"/>
        <v>162.52804433380015</v>
      </c>
      <c r="V23" s="5">
        <f t="shared" si="53"/>
        <v>179.19700913919215</v>
      </c>
    </row>
    <row r="24" spans="1:112" s="10" customFormat="1" x14ac:dyDescent="0.2">
      <c r="A24" s="5"/>
      <c r="B24" s="10" t="s">
        <v>26</v>
      </c>
      <c r="J24" s="10">
        <f>J22-J23</f>
        <v>-58.608999999999995</v>
      </c>
      <c r="K24" s="10">
        <f t="shared" ref="K24:Q24" si="54">K22-K23</f>
        <v>-1.7800000000000189</v>
      </c>
      <c r="L24" s="10">
        <f t="shared" si="54"/>
        <v>199.08699999999999</v>
      </c>
      <c r="M24" s="10">
        <f t="shared" si="54"/>
        <v>188.13381303183215</v>
      </c>
      <c r="N24" s="10">
        <f t="shared" si="54"/>
        <v>269.19746560265162</v>
      </c>
      <c r="O24" s="10">
        <f t="shared" si="54"/>
        <v>332.5642606737681</v>
      </c>
      <c r="P24" s="10">
        <f t="shared" si="54"/>
        <v>370.38812675037912</v>
      </c>
      <c r="Q24" s="10">
        <f t="shared" si="54"/>
        <v>412.03385009623668</v>
      </c>
      <c r="R24" s="10">
        <f t="shared" ref="R24:V24" si="55">R22-R23</f>
        <v>455.11213148165308</v>
      </c>
      <c r="S24" s="10">
        <f t="shared" si="55"/>
        <v>502.40905508833396</v>
      </c>
      <c r="T24" s="10">
        <f t="shared" si="55"/>
        <v>554.35220089825805</v>
      </c>
      <c r="U24" s="10">
        <f t="shared" si="55"/>
        <v>611.41502392239113</v>
      </c>
      <c r="V24" s="10">
        <f t="shared" si="55"/>
        <v>674.12208199981808</v>
      </c>
      <c r="W24" s="10">
        <f t="shared" ref="W24:BB24" si="56">V24*(1+$Y$27)</f>
        <v>667.38086117981993</v>
      </c>
      <c r="X24" s="10">
        <f t="shared" si="56"/>
        <v>660.70705256802171</v>
      </c>
      <c r="Y24" s="10">
        <f t="shared" si="56"/>
        <v>654.09998204234148</v>
      </c>
      <c r="Z24" s="10">
        <f t="shared" si="56"/>
        <v>647.55898222191809</v>
      </c>
      <c r="AA24" s="10">
        <f t="shared" si="56"/>
        <v>641.08339239969894</v>
      </c>
      <c r="AB24" s="10">
        <f t="shared" si="56"/>
        <v>634.67255847570198</v>
      </c>
      <c r="AC24" s="10">
        <f t="shared" si="56"/>
        <v>628.32583289094498</v>
      </c>
      <c r="AD24" s="10">
        <f t="shared" si="56"/>
        <v>622.0425745620355</v>
      </c>
      <c r="AE24" s="10">
        <f t="shared" si="56"/>
        <v>615.82214881641517</v>
      </c>
      <c r="AF24" s="10">
        <f t="shared" si="56"/>
        <v>609.66392732825102</v>
      </c>
      <c r="AG24" s="10">
        <f t="shared" si="56"/>
        <v>603.56728805496846</v>
      </c>
      <c r="AH24" s="10">
        <f t="shared" si="56"/>
        <v>597.53161517441879</v>
      </c>
      <c r="AI24" s="10">
        <f t="shared" si="56"/>
        <v>591.55629902267458</v>
      </c>
      <c r="AJ24" s="10">
        <f t="shared" si="56"/>
        <v>585.64073603244788</v>
      </c>
      <c r="AK24" s="10">
        <f t="shared" si="56"/>
        <v>579.78432867212337</v>
      </c>
      <c r="AL24" s="10">
        <f t="shared" si="56"/>
        <v>573.98648538540215</v>
      </c>
      <c r="AM24" s="10">
        <f t="shared" si="56"/>
        <v>568.24662053154816</v>
      </c>
      <c r="AN24" s="10">
        <f t="shared" si="56"/>
        <v>562.56415432623271</v>
      </c>
      <c r="AO24" s="10">
        <f t="shared" si="56"/>
        <v>556.93851278297041</v>
      </c>
      <c r="AP24" s="10">
        <f t="shared" si="56"/>
        <v>551.36912765514069</v>
      </c>
      <c r="AQ24" s="10">
        <f t="shared" si="56"/>
        <v>545.85543637858927</v>
      </c>
      <c r="AR24" s="10">
        <f t="shared" si="56"/>
        <v>540.3968820148034</v>
      </c>
      <c r="AS24" s="10">
        <f t="shared" si="56"/>
        <v>534.99291319465533</v>
      </c>
      <c r="AT24" s="10">
        <f t="shared" si="56"/>
        <v>529.64298406270882</v>
      </c>
      <c r="AU24" s="10">
        <f t="shared" si="56"/>
        <v>524.34655422208175</v>
      </c>
      <c r="AV24" s="10">
        <f t="shared" si="56"/>
        <v>519.10308867986089</v>
      </c>
      <c r="AW24" s="10">
        <f t="shared" si="56"/>
        <v>513.91205779306233</v>
      </c>
      <c r="AX24" s="10">
        <f t="shared" si="56"/>
        <v>508.77293721513172</v>
      </c>
      <c r="AY24" s="10">
        <f t="shared" si="56"/>
        <v>503.68520784298039</v>
      </c>
      <c r="AZ24" s="10">
        <f t="shared" si="56"/>
        <v>498.64835576455056</v>
      </c>
      <c r="BA24" s="10">
        <f t="shared" si="56"/>
        <v>493.66187220690506</v>
      </c>
      <c r="BB24" s="10">
        <f t="shared" si="56"/>
        <v>488.725253484836</v>
      </c>
      <c r="BC24" s="10">
        <f t="shared" ref="BC24:CH24" si="57">BB24*(1+$Y$27)</f>
        <v>483.83800094998765</v>
      </c>
      <c r="BD24" s="10">
        <f t="shared" si="57"/>
        <v>478.99962094048777</v>
      </c>
      <c r="BE24" s="10">
        <f t="shared" si="57"/>
        <v>474.2096247310829</v>
      </c>
      <c r="BF24" s="10">
        <f t="shared" si="57"/>
        <v>469.46752848377207</v>
      </c>
      <c r="BG24" s="10">
        <f t="shared" si="57"/>
        <v>464.77285319893434</v>
      </c>
      <c r="BH24" s="10">
        <f t="shared" si="57"/>
        <v>460.125124666945</v>
      </c>
      <c r="BI24" s="10">
        <f t="shared" si="57"/>
        <v>455.52387342027555</v>
      </c>
      <c r="BJ24" s="10">
        <f t="shared" si="57"/>
        <v>450.96863468607279</v>
      </c>
      <c r="BK24" s="10">
        <f t="shared" si="57"/>
        <v>446.45894833921204</v>
      </c>
      <c r="BL24" s="10">
        <f t="shared" si="57"/>
        <v>441.99435885581994</v>
      </c>
      <c r="BM24" s="10">
        <f t="shared" si="57"/>
        <v>437.57441526726171</v>
      </c>
      <c r="BN24" s="10">
        <f t="shared" si="57"/>
        <v>433.1986711145891</v>
      </c>
      <c r="BO24" s="10">
        <f t="shared" si="57"/>
        <v>428.86668440344323</v>
      </c>
      <c r="BP24" s="10">
        <f t="shared" si="57"/>
        <v>424.57801755940881</v>
      </c>
      <c r="BQ24" s="10">
        <f t="shared" si="57"/>
        <v>420.33223738381474</v>
      </c>
      <c r="BR24" s="10">
        <f t="shared" si="57"/>
        <v>416.12891500997659</v>
      </c>
      <c r="BS24" s="10">
        <f t="shared" si="57"/>
        <v>411.96762585987682</v>
      </c>
      <c r="BT24" s="10">
        <f t="shared" si="57"/>
        <v>407.84794960127806</v>
      </c>
      <c r="BU24" s="10">
        <f t="shared" si="57"/>
        <v>403.76947010526527</v>
      </c>
      <c r="BV24" s="10">
        <f t="shared" si="57"/>
        <v>399.73177540421261</v>
      </c>
      <c r="BW24" s="10">
        <f t="shared" si="57"/>
        <v>395.7344576501705</v>
      </c>
      <c r="BX24" s="10">
        <f t="shared" si="57"/>
        <v>391.77711307366877</v>
      </c>
      <c r="BY24" s="10">
        <f t="shared" si="57"/>
        <v>387.85934194293208</v>
      </c>
      <c r="BZ24" s="10">
        <f t="shared" si="57"/>
        <v>383.98074852350277</v>
      </c>
      <c r="CA24" s="10">
        <f t="shared" si="57"/>
        <v>380.14094103826773</v>
      </c>
      <c r="CB24" s="10">
        <f t="shared" si="57"/>
        <v>376.33953162788504</v>
      </c>
      <c r="CC24" s="10">
        <f t="shared" si="57"/>
        <v>372.57613631160621</v>
      </c>
      <c r="CD24" s="10">
        <f t="shared" si="57"/>
        <v>368.85037494849013</v>
      </c>
      <c r="CE24" s="10">
        <f t="shared" si="57"/>
        <v>365.16187119900525</v>
      </c>
      <c r="CF24" s="10">
        <f t="shared" si="57"/>
        <v>361.51025248701518</v>
      </c>
      <c r="CG24" s="10">
        <f t="shared" si="57"/>
        <v>357.89514996214501</v>
      </c>
      <c r="CH24" s="10">
        <f t="shared" si="57"/>
        <v>354.31619846252357</v>
      </c>
      <c r="CI24" s="10">
        <f t="shared" ref="CI24:DH24" si="58">CH24*(1+$Y$27)</f>
        <v>350.77303647789836</v>
      </c>
      <c r="CJ24" s="10">
        <f t="shared" si="58"/>
        <v>347.26530611311938</v>
      </c>
      <c r="CK24" s="10">
        <f t="shared" si="58"/>
        <v>343.79265305198817</v>
      </c>
      <c r="CL24" s="10">
        <f t="shared" si="58"/>
        <v>340.35472652146831</v>
      </c>
      <c r="CM24" s="10">
        <f t="shared" si="58"/>
        <v>336.95117925625362</v>
      </c>
      <c r="CN24" s="10">
        <f t="shared" si="58"/>
        <v>333.58166746369108</v>
      </c>
      <c r="CO24" s="10">
        <f t="shared" si="58"/>
        <v>330.24585078905415</v>
      </c>
      <c r="CP24" s="10">
        <f t="shared" si="58"/>
        <v>326.9433922811636</v>
      </c>
      <c r="CQ24" s="10">
        <f t="shared" si="58"/>
        <v>323.67395835835197</v>
      </c>
      <c r="CR24" s="10">
        <f t="shared" si="58"/>
        <v>320.43721877476844</v>
      </c>
      <c r="CS24" s="10">
        <f t="shared" si="58"/>
        <v>317.23284658702073</v>
      </c>
      <c r="CT24" s="10">
        <f t="shared" si="58"/>
        <v>314.06051812115049</v>
      </c>
      <c r="CU24" s="10">
        <f t="shared" si="58"/>
        <v>310.91991293993897</v>
      </c>
      <c r="CV24" s="10">
        <f t="shared" si="58"/>
        <v>307.8107138105396</v>
      </c>
      <c r="CW24" s="10">
        <f t="shared" si="58"/>
        <v>304.7326066724342</v>
      </c>
      <c r="CX24" s="10">
        <f t="shared" si="58"/>
        <v>301.68528060570986</v>
      </c>
      <c r="CY24" s="10">
        <f t="shared" si="58"/>
        <v>298.66842779965276</v>
      </c>
      <c r="CZ24" s="10">
        <f t="shared" si="58"/>
        <v>295.68174352165624</v>
      </c>
      <c r="DA24" s="10">
        <f t="shared" si="58"/>
        <v>292.72492608643967</v>
      </c>
      <c r="DB24" s="10">
        <f t="shared" si="58"/>
        <v>289.79767682557525</v>
      </c>
      <c r="DC24" s="10">
        <f t="shared" si="58"/>
        <v>286.89970005731948</v>
      </c>
      <c r="DD24" s="10">
        <f t="shared" si="58"/>
        <v>284.03070305674629</v>
      </c>
      <c r="DE24" s="10">
        <f t="shared" si="58"/>
        <v>281.1903960261788</v>
      </c>
      <c r="DF24" s="10">
        <f t="shared" si="58"/>
        <v>278.37849206591699</v>
      </c>
      <c r="DG24" s="10">
        <f t="shared" si="58"/>
        <v>275.59470714525781</v>
      </c>
      <c r="DH24" s="10">
        <f t="shared" si="58"/>
        <v>272.83876007380525</v>
      </c>
    </row>
    <row r="25" spans="1:112" x14ac:dyDescent="0.2">
      <c r="B25" s="5" t="s">
        <v>27</v>
      </c>
      <c r="J25" s="9">
        <f>J24/J26</f>
        <v>-0.29615462354724603</v>
      </c>
      <c r="K25" s="9">
        <f>K24/K26</f>
        <v>-7.9464285714286563E-3</v>
      </c>
      <c r="L25" s="9">
        <f>L24/L26</f>
        <v>0.81814333853867016</v>
      </c>
      <c r="M25" s="9">
        <f t="shared" ref="M25:Q25" si="59">M24/M26</f>
        <v>0.79175899262181315</v>
      </c>
      <c r="N25" s="9">
        <f t="shared" si="59"/>
        <v>1.1329144439646133</v>
      </c>
      <c r="O25" s="9">
        <f t="shared" si="59"/>
        <v>1.3995928736559902</v>
      </c>
      <c r="P25" s="9">
        <f t="shared" si="59"/>
        <v>1.5587741798723949</v>
      </c>
      <c r="Q25" s="9">
        <f t="shared" si="59"/>
        <v>1.7340397285366524</v>
      </c>
      <c r="R25" s="9">
        <f t="shared" ref="R25:V25" si="60">R24/R26</f>
        <v>1.9153341812665574</v>
      </c>
      <c r="S25" s="9">
        <f t="shared" si="60"/>
        <v>2.1143827413603264</v>
      </c>
      <c r="T25" s="9">
        <f t="shared" si="60"/>
        <v>2.3329848742640742</v>
      </c>
      <c r="U25" s="9">
        <f t="shared" si="60"/>
        <v>2.5731331099568258</v>
      </c>
      <c r="V25" s="9">
        <f t="shared" si="60"/>
        <v>2.8370350440831515</v>
      </c>
    </row>
    <row r="26" spans="1:112" x14ac:dyDescent="0.2">
      <c r="B26" s="5" t="s">
        <v>1</v>
      </c>
      <c r="J26" s="5">
        <v>197.9</v>
      </c>
      <c r="K26" s="5">
        <v>224</v>
      </c>
      <c r="L26" s="5">
        <v>243.34</v>
      </c>
      <c r="M26" s="5">
        <v>237.61500000000001</v>
      </c>
      <c r="N26" s="5">
        <v>237.61500000000001</v>
      </c>
      <c r="O26" s="5">
        <v>237.61500000000001</v>
      </c>
      <c r="P26" s="5">
        <v>237.61500000000001</v>
      </c>
      <c r="Q26" s="5">
        <v>237.61500000000001</v>
      </c>
      <c r="R26" s="5">
        <v>237.61500000000001</v>
      </c>
      <c r="S26" s="5">
        <v>237.61500000000001</v>
      </c>
      <c r="T26" s="5">
        <v>237.61500000000001</v>
      </c>
      <c r="U26" s="5">
        <v>237.61500000000001</v>
      </c>
      <c r="V26" s="5">
        <v>237.61500000000001</v>
      </c>
      <c r="X26" s="5" t="s">
        <v>35</v>
      </c>
      <c r="Y26" s="11">
        <v>0.02</v>
      </c>
    </row>
    <row r="27" spans="1:112" x14ac:dyDescent="0.2">
      <c r="X27" s="5" t="s">
        <v>36</v>
      </c>
      <c r="Y27" s="11">
        <v>-0.01</v>
      </c>
    </row>
    <row r="28" spans="1:112" s="10" customFormat="1" x14ac:dyDescent="0.2">
      <c r="A28" s="5"/>
      <c r="B28" s="10" t="s">
        <v>28</v>
      </c>
      <c r="K28" s="12">
        <f>K11/J11-1</f>
        <v>0.67553536664503566</v>
      </c>
      <c r="L28" s="12">
        <f>L11/K11-1</f>
        <v>0.65162664601084441</v>
      </c>
      <c r="M28" s="12">
        <f t="shared" ref="M28:Q28" si="61">M11/L11-1</f>
        <v>0.22572869035056864</v>
      </c>
      <c r="N28" s="12">
        <f t="shared" si="61"/>
        <v>0.31271303585913479</v>
      </c>
      <c r="O28" s="12">
        <f t="shared" si="61"/>
        <v>0.19704305404424161</v>
      </c>
      <c r="P28" s="12">
        <f t="shared" si="61"/>
        <v>7.794371835177194E-2</v>
      </c>
      <c r="Q28" s="12">
        <f t="shared" si="61"/>
        <v>7.8284168536231213E-2</v>
      </c>
      <c r="R28" s="12">
        <f t="shared" ref="R28" si="62">R11/Q11-1</f>
        <v>7.8636481976080086E-2</v>
      </c>
      <c r="S28" s="12">
        <f t="shared" ref="S28" si="63">S11/R11-1</f>
        <v>7.9000837894680265E-2</v>
      </c>
      <c r="T28" s="12">
        <f t="shared" ref="T28" si="64">T11/S11-1</f>
        <v>7.9377397641640313E-2</v>
      </c>
      <c r="U28" s="12">
        <f t="shared" ref="U28" si="65">U11/T11-1</f>
        <v>7.9766302835969194E-2</v>
      </c>
      <c r="V28" s="12">
        <f t="shared" ref="V28" si="66">V11/U11-1</f>
        <v>8.0167673480638468E-2</v>
      </c>
      <c r="X28" s="5" t="s">
        <v>37</v>
      </c>
      <c r="Y28" s="11">
        <v>0.09</v>
      </c>
    </row>
    <row r="29" spans="1:112" x14ac:dyDescent="0.2">
      <c r="B29" s="5" t="s">
        <v>29</v>
      </c>
      <c r="J29" s="8">
        <f>J23/J22</f>
        <v>0</v>
      </c>
      <c r="K29" s="8">
        <f t="shared" ref="K29:L29" si="67">K23/K22</f>
        <v>0</v>
      </c>
      <c r="L29" s="8">
        <f t="shared" si="67"/>
        <v>-0.5665410309473039</v>
      </c>
      <c r="M29" s="8">
        <v>0.21</v>
      </c>
      <c r="N29" s="8">
        <v>0.21</v>
      </c>
      <c r="O29" s="8">
        <v>0.21</v>
      </c>
      <c r="P29" s="8">
        <v>0.21</v>
      </c>
      <c r="Q29" s="8">
        <v>0.21</v>
      </c>
      <c r="R29" s="8">
        <v>0.21</v>
      </c>
      <c r="S29" s="8">
        <v>0.21</v>
      </c>
      <c r="T29" s="8">
        <v>0.21</v>
      </c>
      <c r="U29" s="8">
        <v>0.21</v>
      </c>
      <c r="V29" s="8">
        <v>0.21</v>
      </c>
      <c r="X29" s="5" t="s">
        <v>38</v>
      </c>
      <c r="Y29" s="5">
        <f>NPV(Y28,M37:DH37)+'SG-001'!C14</f>
        <v>6772.7839551326542</v>
      </c>
    </row>
    <row r="30" spans="1:112" x14ac:dyDescent="0.2">
      <c r="X30" s="5" t="s">
        <v>0</v>
      </c>
      <c r="Y30" s="9">
        <f>Y29/Main!P3</f>
        <v>28.369582695102725</v>
      </c>
    </row>
    <row r="31" spans="1:112" x14ac:dyDescent="0.2">
      <c r="B31" s="5" t="s">
        <v>30</v>
      </c>
      <c r="J31" s="8">
        <f>J13/J11</f>
        <v>0.2290720311486048</v>
      </c>
      <c r="K31" s="8">
        <f t="shared" ref="K31:L31" si="68">K13/K11</f>
        <v>0.34430673896204483</v>
      </c>
      <c r="L31" s="8">
        <f t="shared" si="68"/>
        <v>0.51483175049829988</v>
      </c>
      <c r="M31" s="8">
        <v>0.64</v>
      </c>
      <c r="N31" s="8">
        <f t="shared" ref="N31" si="69">M31*1.05</f>
        <v>0.67200000000000004</v>
      </c>
      <c r="O31" s="8">
        <f>N31*1.01</f>
        <v>0.6787200000000001</v>
      </c>
      <c r="P31" s="8">
        <f t="shared" ref="P31:V31" si="70">O31*1.01</f>
        <v>0.68550720000000009</v>
      </c>
      <c r="Q31" s="8">
        <f t="shared" si="70"/>
        <v>0.69236227200000011</v>
      </c>
      <c r="R31" s="8">
        <f t="shared" si="70"/>
        <v>0.69928589472000013</v>
      </c>
      <c r="S31" s="8">
        <f t="shared" si="70"/>
        <v>0.70627875366720017</v>
      </c>
      <c r="T31" s="8">
        <f t="shared" si="70"/>
        <v>0.71334154120387216</v>
      </c>
      <c r="U31" s="8">
        <f t="shared" si="70"/>
        <v>0.72047495661591088</v>
      </c>
      <c r="V31" s="8">
        <f t="shared" si="70"/>
        <v>0.72767970618207001</v>
      </c>
      <c r="X31" s="5" t="s">
        <v>39</v>
      </c>
      <c r="Y31" s="8">
        <f>Y30/Main!P2-1</f>
        <v>0.36392224495686176</v>
      </c>
    </row>
    <row r="32" spans="1:112" x14ac:dyDescent="0.2">
      <c r="B32" s="5" t="s">
        <v>42</v>
      </c>
      <c r="J32" s="8">
        <f>J18/J11</f>
        <v>0.48445165476963009</v>
      </c>
      <c r="K32" s="8">
        <f t="shared" ref="K32:L32" si="71">K18/K11</f>
        <v>0.26065065840433771</v>
      </c>
      <c r="L32" s="8">
        <f t="shared" si="71"/>
        <v>0.18891546488451164</v>
      </c>
      <c r="M32" s="8">
        <f>L32*0.98</f>
        <v>0.18513715558682139</v>
      </c>
      <c r="N32" s="8">
        <f t="shared" ref="N32:Q32" si="72">M32*0.98</f>
        <v>0.18143441247508496</v>
      </c>
      <c r="O32" s="8">
        <f t="shared" si="72"/>
        <v>0.17780572422558324</v>
      </c>
      <c r="P32" s="8">
        <f t="shared" si="72"/>
        <v>0.17424960974107156</v>
      </c>
      <c r="Q32" s="8">
        <f t="shared" si="72"/>
        <v>0.17076461754625014</v>
      </c>
      <c r="R32" s="8">
        <f>Q32*1</f>
        <v>0.17076461754625014</v>
      </c>
      <c r="S32" s="8">
        <f t="shared" ref="S32:V32" si="73">R32*1</f>
        <v>0.17076461754625014</v>
      </c>
      <c r="T32" s="8">
        <f t="shared" si="73"/>
        <v>0.17076461754625014</v>
      </c>
      <c r="U32" s="8">
        <f t="shared" si="73"/>
        <v>0.17076461754625014</v>
      </c>
      <c r="V32" s="8">
        <f t="shared" si="73"/>
        <v>0.17076461754625014</v>
      </c>
    </row>
    <row r="33" spans="1:108" x14ac:dyDescent="0.2">
      <c r="B33" s="5" t="s">
        <v>43</v>
      </c>
      <c r="J33" s="8">
        <f>J37/J11</f>
        <v>-0.47631408176508766</v>
      </c>
      <c r="K33" s="8">
        <f t="shared" ref="K33:P33" si="74">K37/K11</f>
        <v>1.5608055770720377E-2</v>
      </c>
      <c r="L33" s="8">
        <f t="shared" si="74"/>
        <v>0.25977254074334621</v>
      </c>
      <c r="M33" s="8">
        <f t="shared" si="74"/>
        <v>0.39591054794038666</v>
      </c>
      <c r="N33" s="8">
        <f t="shared" si="74"/>
        <v>0.43155026098965749</v>
      </c>
      <c r="O33" s="8">
        <f t="shared" si="74"/>
        <v>0.44537539581593111</v>
      </c>
      <c r="P33" s="8">
        <f t="shared" si="74"/>
        <v>0.46016291567374135</v>
      </c>
      <c r="Q33" s="8">
        <f>Q37/Q11</f>
        <v>0.47473825294369987</v>
      </c>
      <c r="R33" s="8">
        <f t="shared" ref="R33:V33" si="75">R37/R11</f>
        <v>0.4861436731219726</v>
      </c>
      <c r="S33" s="8">
        <f t="shared" si="75"/>
        <v>0.49737265219603338</v>
      </c>
      <c r="T33" s="8">
        <f t="shared" si="75"/>
        <v>0.50843671064139251</v>
      </c>
      <c r="U33" s="8">
        <f t="shared" si="75"/>
        <v>0.51934680053218374</v>
      </c>
      <c r="V33" s="8">
        <f t="shared" si="75"/>
        <v>0.53011333841900754</v>
      </c>
    </row>
    <row r="35" spans="1:108" x14ac:dyDescent="0.2">
      <c r="B35" s="5" t="s">
        <v>31</v>
      </c>
      <c r="J35" s="5">
        <v>-59.5</v>
      </c>
      <c r="K35" s="5">
        <v>8.8000000000000007</v>
      </c>
      <c r="L35" s="5">
        <v>119</v>
      </c>
    </row>
    <row r="36" spans="1:108" x14ac:dyDescent="0.2">
      <c r="B36" s="5" t="s">
        <v>32</v>
      </c>
      <c r="J36" s="5">
        <v>13.9</v>
      </c>
      <c r="K36" s="5">
        <v>4.7699999999999996</v>
      </c>
      <c r="L36" s="5">
        <v>8.2200000000000006</v>
      </c>
    </row>
    <row r="37" spans="1:108" s="10" customFormat="1" x14ac:dyDescent="0.2">
      <c r="A37" s="5"/>
      <c r="B37" s="10" t="s">
        <v>33</v>
      </c>
      <c r="J37" s="10">
        <f>J35-J36</f>
        <v>-73.400000000000006</v>
      </c>
      <c r="K37" s="10">
        <f t="shared" ref="K37:L37" si="76">K35-K36</f>
        <v>4.0300000000000011</v>
      </c>
      <c r="L37" s="10">
        <f t="shared" si="76"/>
        <v>110.78</v>
      </c>
      <c r="M37" s="10">
        <f>M24*1.1</f>
        <v>206.94719433501538</v>
      </c>
      <c r="N37" s="10">
        <f t="shared" ref="N37:Q37" si="77">N24*1.1</f>
        <v>296.11721216291681</v>
      </c>
      <c r="O37" s="10">
        <f t="shared" si="77"/>
        <v>365.82068674114493</v>
      </c>
      <c r="P37" s="10">
        <f t="shared" si="77"/>
        <v>407.42693942541706</v>
      </c>
      <c r="Q37" s="10">
        <f t="shared" si="77"/>
        <v>453.23723510586041</v>
      </c>
      <c r="R37" s="10">
        <f t="shared" ref="R37:V37" si="78">R24*1.1</f>
        <v>500.6233446298184</v>
      </c>
      <c r="S37" s="10">
        <f t="shared" si="78"/>
        <v>552.64996059716736</v>
      </c>
      <c r="T37" s="10">
        <f t="shared" si="78"/>
        <v>609.78742098808391</v>
      </c>
      <c r="U37" s="10">
        <f t="shared" si="78"/>
        <v>672.55652631463033</v>
      </c>
      <c r="V37" s="10">
        <f t="shared" si="78"/>
        <v>741.5342901997999</v>
      </c>
      <c r="W37" s="10">
        <f t="shared" ref="W37:BB37" si="79">V37*(1+$Y$27)</f>
        <v>734.11894729780192</v>
      </c>
      <c r="X37" s="10">
        <f t="shared" si="79"/>
        <v>726.77775782482388</v>
      </c>
      <c r="Y37" s="10">
        <f t="shared" si="79"/>
        <v>719.50998024657565</v>
      </c>
      <c r="Z37" s="10">
        <f t="shared" si="79"/>
        <v>712.31488044410992</v>
      </c>
      <c r="AA37" s="10">
        <f t="shared" si="79"/>
        <v>705.19173163966877</v>
      </c>
      <c r="AB37" s="10">
        <f t="shared" si="79"/>
        <v>698.13981432327205</v>
      </c>
      <c r="AC37" s="10">
        <f t="shared" si="79"/>
        <v>691.15841618003935</v>
      </c>
      <c r="AD37" s="10">
        <f t="shared" si="79"/>
        <v>684.24683201823893</v>
      </c>
      <c r="AE37" s="10">
        <f t="shared" si="79"/>
        <v>677.4043636980565</v>
      </c>
      <c r="AF37" s="10">
        <f t="shared" si="79"/>
        <v>670.63032006107596</v>
      </c>
      <c r="AG37" s="10">
        <f t="shared" si="79"/>
        <v>663.92401686046514</v>
      </c>
      <c r="AH37" s="10">
        <f t="shared" si="79"/>
        <v>657.28477669186054</v>
      </c>
      <c r="AI37" s="10">
        <f t="shared" si="79"/>
        <v>650.71192892494196</v>
      </c>
      <c r="AJ37" s="10">
        <f t="shared" si="79"/>
        <v>644.20480963569253</v>
      </c>
      <c r="AK37" s="10">
        <f t="shared" si="79"/>
        <v>637.76276153933554</v>
      </c>
      <c r="AL37" s="10">
        <f t="shared" si="79"/>
        <v>631.38513392394213</v>
      </c>
      <c r="AM37" s="10">
        <f t="shared" si="79"/>
        <v>625.07128258470266</v>
      </c>
      <c r="AN37" s="10">
        <f t="shared" si="79"/>
        <v>618.82056975885564</v>
      </c>
      <c r="AO37" s="10">
        <f t="shared" si="79"/>
        <v>612.63236406126703</v>
      </c>
      <c r="AP37" s="10">
        <f t="shared" si="79"/>
        <v>606.50604042065436</v>
      </c>
      <c r="AQ37" s="10">
        <f t="shared" si="79"/>
        <v>600.44098001644784</v>
      </c>
      <c r="AR37" s="10">
        <f t="shared" si="79"/>
        <v>594.43657021628337</v>
      </c>
      <c r="AS37" s="10">
        <f t="shared" si="79"/>
        <v>588.49220451412054</v>
      </c>
      <c r="AT37" s="10">
        <f t="shared" si="79"/>
        <v>582.60728246897929</v>
      </c>
      <c r="AU37" s="10">
        <f t="shared" si="79"/>
        <v>576.78120964428945</v>
      </c>
      <c r="AV37" s="10">
        <f t="shared" si="79"/>
        <v>571.01339754784658</v>
      </c>
      <c r="AW37" s="10">
        <f t="shared" si="79"/>
        <v>565.30326357236811</v>
      </c>
      <c r="AX37" s="10">
        <f t="shared" si="79"/>
        <v>559.65023093664445</v>
      </c>
      <c r="AY37" s="10">
        <f t="shared" si="79"/>
        <v>554.05372862727802</v>
      </c>
      <c r="AZ37" s="10">
        <f t="shared" si="79"/>
        <v>548.51319134100527</v>
      </c>
      <c r="BA37" s="10">
        <f t="shared" si="79"/>
        <v>543.02805942759517</v>
      </c>
      <c r="BB37" s="10">
        <f t="shared" si="79"/>
        <v>537.59777883331924</v>
      </c>
      <c r="BC37" s="10">
        <f t="shared" ref="BC37:CH37" si="80">BB37*(1+$Y$27)</f>
        <v>532.22180104498602</v>
      </c>
      <c r="BD37" s="10">
        <f t="shared" si="80"/>
        <v>526.89958303453614</v>
      </c>
      <c r="BE37" s="10">
        <f t="shared" si="80"/>
        <v>521.63058720419076</v>
      </c>
      <c r="BF37" s="10">
        <f t="shared" si="80"/>
        <v>516.4142813321489</v>
      </c>
      <c r="BG37" s="10">
        <f t="shared" si="80"/>
        <v>511.25013851882738</v>
      </c>
      <c r="BH37" s="10">
        <f t="shared" si="80"/>
        <v>506.13763713363909</v>
      </c>
      <c r="BI37" s="10">
        <f t="shared" si="80"/>
        <v>501.0762607623027</v>
      </c>
      <c r="BJ37" s="10">
        <f t="shared" si="80"/>
        <v>496.06549815467969</v>
      </c>
      <c r="BK37" s="10">
        <f t="shared" si="80"/>
        <v>491.10484317313291</v>
      </c>
      <c r="BL37" s="10">
        <f t="shared" si="80"/>
        <v>486.19379474140158</v>
      </c>
      <c r="BM37" s="10">
        <f t="shared" si="80"/>
        <v>481.33185679398758</v>
      </c>
      <c r="BN37" s="10">
        <f t="shared" si="80"/>
        <v>476.51853822604772</v>
      </c>
      <c r="BO37" s="10">
        <f t="shared" si="80"/>
        <v>471.75335284378724</v>
      </c>
      <c r="BP37" s="10">
        <f t="shared" si="80"/>
        <v>467.03581931534939</v>
      </c>
      <c r="BQ37" s="10">
        <f t="shared" si="80"/>
        <v>462.36546112219588</v>
      </c>
      <c r="BR37" s="10">
        <f t="shared" si="80"/>
        <v>457.7418065109739</v>
      </c>
      <c r="BS37" s="10">
        <f t="shared" si="80"/>
        <v>453.16438844586418</v>
      </c>
      <c r="BT37" s="10">
        <f t="shared" si="80"/>
        <v>448.6327445614055</v>
      </c>
      <c r="BU37" s="10">
        <f t="shared" si="80"/>
        <v>444.14641711579145</v>
      </c>
      <c r="BV37" s="10">
        <f t="shared" si="80"/>
        <v>439.70495294463353</v>
      </c>
      <c r="BW37" s="10">
        <f t="shared" si="80"/>
        <v>435.30790341518718</v>
      </c>
      <c r="BX37" s="10">
        <f t="shared" si="80"/>
        <v>430.95482438103528</v>
      </c>
      <c r="BY37" s="10">
        <f t="shared" si="80"/>
        <v>426.64527613722493</v>
      </c>
      <c r="BZ37" s="10">
        <f t="shared" si="80"/>
        <v>422.37882337585268</v>
      </c>
      <c r="CA37" s="10">
        <f t="shared" si="80"/>
        <v>418.15503514209416</v>
      </c>
      <c r="CB37" s="10">
        <f t="shared" si="80"/>
        <v>413.97348479067324</v>
      </c>
      <c r="CC37" s="10">
        <f t="shared" si="80"/>
        <v>409.83374994276653</v>
      </c>
      <c r="CD37" s="10">
        <f t="shared" si="80"/>
        <v>405.73541244333887</v>
      </c>
      <c r="CE37" s="10">
        <f t="shared" si="80"/>
        <v>401.67805831890547</v>
      </c>
      <c r="CF37" s="10">
        <f t="shared" si="80"/>
        <v>397.6612777357164</v>
      </c>
      <c r="CG37" s="10">
        <f t="shared" si="80"/>
        <v>393.68466495835924</v>
      </c>
      <c r="CH37" s="10">
        <f t="shared" si="80"/>
        <v>389.74781830877566</v>
      </c>
      <c r="CI37" s="10">
        <f t="shared" ref="CI37:DD37" si="81">CH37*(1+$Y$27)</f>
        <v>385.85034012568792</v>
      </c>
      <c r="CJ37" s="10">
        <f t="shared" si="81"/>
        <v>381.99183672443104</v>
      </c>
      <c r="CK37" s="10">
        <f t="shared" si="81"/>
        <v>378.17191835718671</v>
      </c>
      <c r="CL37" s="10">
        <f t="shared" si="81"/>
        <v>374.39019917361486</v>
      </c>
      <c r="CM37" s="10">
        <f t="shared" si="81"/>
        <v>370.64629718187871</v>
      </c>
      <c r="CN37" s="10">
        <f t="shared" si="81"/>
        <v>366.93983421005993</v>
      </c>
      <c r="CO37" s="10">
        <f t="shared" si="81"/>
        <v>363.27043586795935</v>
      </c>
      <c r="CP37" s="10">
        <f t="shared" si="81"/>
        <v>359.63773150927977</v>
      </c>
      <c r="CQ37" s="10">
        <f t="shared" si="81"/>
        <v>356.04135419418697</v>
      </c>
      <c r="CR37" s="10">
        <f t="shared" si="81"/>
        <v>352.48094065224507</v>
      </c>
      <c r="CS37" s="10">
        <f t="shared" si="81"/>
        <v>348.95613124572259</v>
      </c>
      <c r="CT37" s="10">
        <f t="shared" si="81"/>
        <v>345.46656993326536</v>
      </c>
      <c r="CU37" s="10">
        <f t="shared" si="81"/>
        <v>342.01190423393268</v>
      </c>
      <c r="CV37" s="10">
        <f t="shared" si="81"/>
        <v>338.59178519159337</v>
      </c>
      <c r="CW37" s="10">
        <f t="shared" si="81"/>
        <v>335.20586733967741</v>
      </c>
      <c r="CX37" s="10">
        <f t="shared" si="81"/>
        <v>331.85380866628066</v>
      </c>
      <c r="CY37" s="10">
        <f t="shared" si="81"/>
        <v>328.53527057961787</v>
      </c>
      <c r="CZ37" s="10">
        <f t="shared" si="81"/>
        <v>325.24991787382169</v>
      </c>
      <c r="DA37" s="10">
        <f t="shared" si="81"/>
        <v>321.99741869508347</v>
      </c>
      <c r="DB37" s="10">
        <f t="shared" si="81"/>
        <v>318.77744450813265</v>
      </c>
      <c r="DC37" s="10">
        <f t="shared" si="81"/>
        <v>315.5896700630513</v>
      </c>
      <c r="DD37" s="10">
        <f t="shared" si="81"/>
        <v>312.43377336242077</v>
      </c>
    </row>
    <row r="39" spans="1:108" x14ac:dyDescent="0.2">
      <c r="B39" s="5" t="s">
        <v>34</v>
      </c>
      <c r="L39" s="5">
        <f>L41-L43</f>
        <v>19.090000000000003</v>
      </c>
      <c r="M39" s="5">
        <f>L39+M24</f>
        <v>207.22381303183215</v>
      </c>
      <c r="N39" s="5">
        <f t="shared" ref="N39:Q39" si="82">M39+N24</f>
        <v>476.42127863448377</v>
      </c>
      <c r="O39" s="5">
        <f t="shared" si="82"/>
        <v>808.98553930825187</v>
      </c>
      <c r="P39" s="5">
        <f t="shared" si="82"/>
        <v>1179.373666058631</v>
      </c>
      <c r="Q39" s="5">
        <f t="shared" si="82"/>
        <v>1591.4075161548676</v>
      </c>
      <c r="R39" s="5">
        <f t="shared" ref="R39" si="83">Q39+R24</f>
        <v>2046.5196476365206</v>
      </c>
      <c r="S39" s="5">
        <f t="shared" ref="S39" si="84">R39+S24</f>
        <v>2548.9287027248547</v>
      </c>
      <c r="T39" s="5">
        <f t="shared" ref="T39" si="85">S39+T24</f>
        <v>3103.2809036231129</v>
      </c>
      <c r="U39" s="5">
        <f t="shared" ref="U39" si="86">T39+U24</f>
        <v>3714.6959275455038</v>
      </c>
      <c r="V39" s="5">
        <f t="shared" ref="V39" si="87">U39+V24</f>
        <v>4388.8180095453217</v>
      </c>
    </row>
    <row r="41" spans="1:108" x14ac:dyDescent="0.2">
      <c r="B41" s="5" t="s">
        <v>3</v>
      </c>
      <c r="L41" s="5">
        <v>103.14700000000001</v>
      </c>
    </row>
    <row r="43" spans="1:108" x14ac:dyDescent="0.2">
      <c r="B43" s="5" t="s">
        <v>4</v>
      </c>
      <c r="L43" s="5">
        <f>72.337+1.5+1.3+8.56+0.36</f>
        <v>84.057000000000002</v>
      </c>
    </row>
  </sheetData>
  <hyperlinks>
    <hyperlink ref="A1" location="main!A1" display="Main" xr:uid="{EE1EE97B-E09C-4781-8A92-61F401DB3408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6F6F-A78D-47D4-B7DC-A1C1A8761F95}">
  <dimension ref="B8:P14"/>
  <sheetViews>
    <sheetView zoomScale="160" zoomScaleNormal="160" workbookViewId="0">
      <selection activeCell="A10" sqref="A10"/>
    </sheetView>
  </sheetViews>
  <sheetFormatPr defaultRowHeight="14.25" x14ac:dyDescent="0.2"/>
  <sheetData>
    <row r="8" spans="2:16" x14ac:dyDescent="0.2">
      <c r="D8">
        <v>2025</v>
      </c>
      <c r="E8">
        <f>D8+1</f>
        <v>2026</v>
      </c>
      <c r="F8">
        <f>E8+1</f>
        <v>2027</v>
      </c>
      <c r="G8">
        <f t="shared" ref="G8:P8" si="0">F8+1</f>
        <v>2028</v>
      </c>
      <c r="H8">
        <f t="shared" si="0"/>
        <v>2029</v>
      </c>
      <c r="I8">
        <f t="shared" si="0"/>
        <v>2030</v>
      </c>
      <c r="J8">
        <f t="shared" si="0"/>
        <v>2031</v>
      </c>
      <c r="K8">
        <f t="shared" si="0"/>
        <v>2032</v>
      </c>
      <c r="L8">
        <f t="shared" si="0"/>
        <v>2033</v>
      </c>
      <c r="M8">
        <f t="shared" si="0"/>
        <v>2034</v>
      </c>
      <c r="N8">
        <f t="shared" si="0"/>
        <v>2035</v>
      </c>
      <c r="O8">
        <f t="shared" si="0"/>
        <v>2036</v>
      </c>
      <c r="P8">
        <f t="shared" si="0"/>
        <v>2037</v>
      </c>
    </row>
    <row r="9" spans="2:16" x14ac:dyDescent="0.2">
      <c r="C9" t="s">
        <v>59</v>
      </c>
      <c r="D9">
        <v>0</v>
      </c>
      <c r="E9">
        <v>0</v>
      </c>
      <c r="F9">
        <f>100*0.7</f>
        <v>70</v>
      </c>
      <c r="G9">
        <f>150*0.7</f>
        <v>105</v>
      </c>
      <c r="H9">
        <f>200*0.7</f>
        <v>140</v>
      </c>
      <c r="I9">
        <f>250*0.7</f>
        <v>175</v>
      </c>
      <c r="J9">
        <f>300*0.7</f>
        <v>210</v>
      </c>
      <c r="K9">
        <f>350*0.7</f>
        <v>244.99999999999997</v>
      </c>
      <c r="L9">
        <f>400*0.7</f>
        <v>280</v>
      </c>
      <c r="M9">
        <f t="shared" ref="M9:P9" si="1">400*0.7</f>
        <v>280</v>
      </c>
      <c r="N9">
        <f t="shared" si="1"/>
        <v>280</v>
      </c>
      <c r="O9">
        <f t="shared" si="1"/>
        <v>280</v>
      </c>
      <c r="P9">
        <f t="shared" si="1"/>
        <v>280</v>
      </c>
    </row>
    <row r="10" spans="2:16" x14ac:dyDescent="0.2">
      <c r="C10" t="s">
        <v>60</v>
      </c>
      <c r="D10">
        <f>D9*$C$12</f>
        <v>0</v>
      </c>
      <c r="E10">
        <f t="shared" ref="E10:P10" si="2">E9*$C$12</f>
        <v>0</v>
      </c>
      <c r="F10">
        <f t="shared" si="2"/>
        <v>49</v>
      </c>
      <c r="G10">
        <f t="shared" si="2"/>
        <v>73.5</v>
      </c>
      <c r="H10">
        <f t="shared" si="2"/>
        <v>98</v>
      </c>
      <c r="I10">
        <f t="shared" si="2"/>
        <v>122.49999999999999</v>
      </c>
      <c r="J10">
        <f t="shared" si="2"/>
        <v>147</v>
      </c>
      <c r="K10">
        <f t="shared" si="2"/>
        <v>171.49999999999997</v>
      </c>
      <c r="L10">
        <f t="shared" si="2"/>
        <v>196</v>
      </c>
      <c r="M10">
        <f t="shared" si="2"/>
        <v>196</v>
      </c>
      <c r="N10">
        <f t="shared" si="2"/>
        <v>196</v>
      </c>
      <c r="O10">
        <f t="shared" si="2"/>
        <v>196</v>
      </c>
      <c r="P10">
        <f t="shared" si="2"/>
        <v>196</v>
      </c>
    </row>
    <row r="12" spans="2:16" x14ac:dyDescent="0.2">
      <c r="B12" t="s">
        <v>61</v>
      </c>
      <c r="C12">
        <v>0.7</v>
      </c>
    </row>
    <row r="13" spans="2:16" x14ac:dyDescent="0.2">
      <c r="B13" t="s">
        <v>37</v>
      </c>
      <c r="C13" s="2">
        <v>0.08</v>
      </c>
    </row>
    <row r="14" spans="2:16" x14ac:dyDescent="0.2">
      <c r="B14" t="s">
        <v>38</v>
      </c>
      <c r="C14" s="1">
        <f>NPV(C13,D10:XFD10)</f>
        <v>838.04345997155406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SG-001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2025-05-09T18:03:20Z</dcterms:created>
  <dcterms:modified xsi:type="dcterms:W3CDTF">2025-06-16T01:02:22Z</dcterms:modified>
</cp:coreProperties>
</file>