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2F02ACC4-2024-42D3-A8A6-2E3E95427431}" xr6:coauthVersionLast="47" xr6:coauthVersionMax="47" xr10:uidLastSave="{00000000-0000-0000-0000-000000000000}"/>
  <bookViews>
    <workbookView xWindow="390" yWindow="390" windowWidth="22125" windowHeight="14250" activeTab="1" xr2:uid="{8B933568-3C2B-49E2-8AFE-CD21F9455682}"/>
  </bookViews>
  <sheets>
    <sheet name="Main" sheetId="1" r:id="rId1"/>
    <sheet name="Model" sheetId="2" r:id="rId2"/>
    <sheet name="vepdegestrant" sheetId="4" r:id="rId3"/>
    <sheet name="luxdegalutamide" sheetId="5" r:id="rId4"/>
    <sheet name="ARV-102" sheetId="8" r:id="rId5"/>
    <sheet name="ARV-393" sheetId="7" r:id="rId6"/>
    <sheet name="ARV-806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2" l="1"/>
  <c r="R2" i="2" s="1"/>
  <c r="S2" i="2" s="1"/>
  <c r="T2" i="2" s="1"/>
  <c r="U2" i="2" s="1"/>
  <c r="V2" i="2" s="1"/>
  <c r="W2" i="2" s="1"/>
  <c r="X2" i="2" s="1"/>
  <c r="Y2" i="2" s="1"/>
  <c r="P2" i="2"/>
  <c r="Q14" i="2"/>
  <c r="R14" i="2"/>
  <c r="S14" i="2"/>
  <c r="T14" i="2" s="1"/>
  <c r="U14" i="2" s="1"/>
  <c r="V14" i="2" s="1"/>
  <c r="W14" i="2" s="1"/>
  <c r="X14" i="2" s="1"/>
  <c r="Y14" i="2" s="1"/>
  <c r="P14" i="2"/>
  <c r="S3" i="2"/>
  <c r="T3" i="2" s="1"/>
  <c r="U3" i="2" s="1"/>
  <c r="V3" i="2" s="1"/>
  <c r="W3" i="2" s="1"/>
  <c r="X3" i="2" s="1"/>
  <c r="Y3" i="2" s="1"/>
  <c r="R3" i="2"/>
  <c r="O2" i="2"/>
  <c r="U21" i="2"/>
  <c r="V21" i="2"/>
  <c r="W21" i="2"/>
  <c r="X21" i="2" s="1"/>
  <c r="Y21" i="2" s="1"/>
  <c r="U1" i="2"/>
  <c r="V1" i="2" s="1"/>
  <c r="W1" i="2" s="1"/>
  <c r="X1" i="2" s="1"/>
  <c r="Y1" i="2" s="1"/>
  <c r="P13" i="2"/>
  <c r="O7" i="2"/>
  <c r="O13" i="2"/>
  <c r="B47" i="5"/>
  <c r="Q21" i="2"/>
  <c r="R21" i="2"/>
  <c r="S21" i="2"/>
  <c r="T21" i="2"/>
  <c r="P21" i="2"/>
  <c r="I21" i="2"/>
  <c r="J21" i="2"/>
  <c r="H21" i="2"/>
  <c r="G25" i="2"/>
  <c r="H17" i="2"/>
  <c r="I14" i="2"/>
  <c r="J14" i="2"/>
  <c r="H14" i="2"/>
  <c r="I13" i="2"/>
  <c r="J13" i="2"/>
  <c r="H13" i="2"/>
  <c r="P12" i="2"/>
  <c r="I12" i="2"/>
  <c r="I7" i="2" s="1"/>
  <c r="N7" i="2"/>
  <c r="D7" i="2"/>
  <c r="E7" i="2"/>
  <c r="F7" i="2"/>
  <c r="H7" i="2"/>
  <c r="C7" i="2"/>
  <c r="G7" i="2"/>
  <c r="L29" i="2"/>
  <c r="M29" i="2"/>
  <c r="M24" i="2"/>
  <c r="N24" i="2"/>
  <c r="M15" i="2"/>
  <c r="M16" i="2" s="1"/>
  <c r="L15" i="2"/>
  <c r="L16" i="2" s="1"/>
  <c r="L18" i="2" s="1"/>
  <c r="M1" i="2"/>
  <c r="N1" i="2" s="1"/>
  <c r="O1" i="2" s="1"/>
  <c r="P1" i="2" s="1"/>
  <c r="Q1" i="2" s="1"/>
  <c r="R1" i="2" s="1"/>
  <c r="S1" i="2" s="1"/>
  <c r="T1" i="2" s="1"/>
  <c r="H24" i="2"/>
  <c r="O21" i="2"/>
  <c r="O14" i="2"/>
  <c r="N15" i="2"/>
  <c r="N16" i="2" s="1"/>
  <c r="N18" i="2" s="1"/>
  <c r="N20" i="2" s="1"/>
  <c r="N22" i="2" s="1"/>
  <c r="H15" i="2"/>
  <c r="H16" i="2" s="1"/>
  <c r="I15" i="2"/>
  <c r="J15" i="2"/>
  <c r="O11" i="2"/>
  <c r="O10" i="2"/>
  <c r="O33" i="2"/>
  <c r="O31" i="2"/>
  <c r="N33" i="2"/>
  <c r="N31" i="2"/>
  <c r="G33" i="2"/>
  <c r="G31" i="2"/>
  <c r="C15" i="2"/>
  <c r="C16" i="2" s="1"/>
  <c r="D27" i="2"/>
  <c r="E27" i="2"/>
  <c r="F27" i="2"/>
  <c r="G24" i="2"/>
  <c r="G15" i="2"/>
  <c r="G16" i="2" s="1"/>
  <c r="K7" i="1"/>
  <c r="K6" i="1"/>
  <c r="K5" i="1"/>
  <c r="Q15" i="2" l="1"/>
  <c r="U15" i="2"/>
  <c r="V15" i="2"/>
  <c r="Y15" i="2"/>
  <c r="X15" i="2"/>
  <c r="W15" i="2"/>
  <c r="Q11" i="2"/>
  <c r="Q12" i="2" s="1"/>
  <c r="Q24" i="2" s="1"/>
  <c r="R15" i="2"/>
  <c r="H18" i="2"/>
  <c r="O15" i="2"/>
  <c r="J12" i="2"/>
  <c r="I16" i="2"/>
  <c r="I24" i="2"/>
  <c r="J7" i="2"/>
  <c r="K8" i="1"/>
  <c r="L20" i="2"/>
  <c r="L22" i="2" s="1"/>
  <c r="L25" i="2"/>
  <c r="N25" i="2"/>
  <c r="N29" i="2"/>
  <c r="M18" i="2"/>
  <c r="M27" i="2"/>
  <c r="L27" i="2"/>
  <c r="G29" i="2"/>
  <c r="H27" i="2"/>
  <c r="C18" i="2"/>
  <c r="C20" i="2" s="1"/>
  <c r="C22" i="2" s="1"/>
  <c r="C27" i="2"/>
  <c r="G18" i="2"/>
  <c r="G20" i="2" s="1"/>
  <c r="G22" i="2" s="1"/>
  <c r="G27" i="2"/>
  <c r="N27" i="2"/>
  <c r="R11" i="2" l="1"/>
  <c r="R12" i="2" s="1"/>
  <c r="R24" i="2" s="1"/>
  <c r="S15" i="2"/>
  <c r="H19" i="2"/>
  <c r="H20" i="2" s="1"/>
  <c r="I27" i="2"/>
  <c r="J16" i="2"/>
  <c r="J24" i="2"/>
  <c r="P15" i="2"/>
  <c r="P16" i="2" s="1"/>
  <c r="P27" i="2" s="1"/>
  <c r="M20" i="2"/>
  <c r="M22" i="2" s="1"/>
  <c r="M25" i="2"/>
  <c r="S11" i="2" l="1"/>
  <c r="S12" i="2" s="1"/>
  <c r="S24" i="2" s="1"/>
  <c r="T15" i="2"/>
  <c r="H22" i="2"/>
  <c r="H29" i="2"/>
  <c r="J27" i="2"/>
  <c r="Q16" i="2"/>
  <c r="Q27" i="2" s="1"/>
  <c r="T11" i="2" l="1"/>
  <c r="T12" i="2" s="1"/>
  <c r="T24" i="2" s="1"/>
  <c r="I17" i="2"/>
  <c r="I18" i="2" s="1"/>
  <c r="R16" i="2"/>
  <c r="R27" i="2" s="1"/>
  <c r="U11" i="2" l="1"/>
  <c r="U12" i="2" s="1"/>
  <c r="U16" i="2" s="1"/>
  <c r="U27" i="2" s="1"/>
  <c r="I19" i="2"/>
  <c r="I20" i="2" s="1"/>
  <c r="S16" i="2"/>
  <c r="S27" i="2" s="1"/>
  <c r="U24" i="2" l="1"/>
  <c r="V11" i="2"/>
  <c r="V12" i="2" s="1"/>
  <c r="I22" i="2"/>
  <c r="I29" i="2"/>
  <c r="J17" i="2" s="1"/>
  <c r="T16" i="2"/>
  <c r="T27" i="2" s="1"/>
  <c r="V24" i="2" l="1"/>
  <c r="V16" i="2"/>
  <c r="V27" i="2" s="1"/>
  <c r="W11" i="2"/>
  <c r="W12" i="2" s="1"/>
  <c r="O17" i="2"/>
  <c r="J18" i="2"/>
  <c r="W24" i="2" l="1"/>
  <c r="W16" i="2"/>
  <c r="W27" i="2" s="1"/>
  <c r="Y11" i="2"/>
  <c r="Y12" i="2" s="1"/>
  <c r="X11" i="2"/>
  <c r="X12" i="2" s="1"/>
  <c r="J19" i="2"/>
  <c r="O19" i="2" s="1"/>
  <c r="X24" i="2" l="1"/>
  <c r="X16" i="2"/>
  <c r="X27" i="2" s="1"/>
  <c r="Y24" i="2"/>
  <c r="Y16" i="2"/>
  <c r="Y27" i="2" s="1"/>
  <c r="J20" i="2"/>
  <c r="J22" i="2"/>
  <c r="J29" i="2"/>
  <c r="O29" i="2" s="1"/>
  <c r="P17" i="2" l="1"/>
  <c r="P18" i="2" s="1"/>
  <c r="P19" i="2" s="1"/>
  <c r="P20" i="2" s="1"/>
  <c r="O16" i="2"/>
  <c r="O18" i="2" s="1"/>
  <c r="P24" i="2"/>
  <c r="O24" i="2"/>
  <c r="O27" i="2" l="1"/>
  <c r="P22" i="2"/>
  <c r="P29" i="2"/>
  <c r="O25" i="2"/>
  <c r="O20" i="2"/>
  <c r="Q17" i="2" l="1"/>
  <c r="Q18" i="2" s="1"/>
  <c r="Q19" i="2" s="1"/>
  <c r="Q20" i="2" s="1"/>
  <c r="O22" i="2"/>
  <c r="Q22" i="2" l="1"/>
  <c r="Q29" i="2"/>
  <c r="R17" i="2" l="1"/>
  <c r="R18" i="2" s="1"/>
  <c r="R19" i="2" s="1"/>
  <c r="R20" i="2" s="1"/>
  <c r="R29" i="2" l="1"/>
  <c r="S17" i="2" s="1"/>
  <c r="S18" i="2" s="1"/>
  <c r="S19" i="2" s="1"/>
  <c r="S20" i="2" s="1"/>
  <c r="S22" i="2" s="1"/>
  <c r="R22" i="2"/>
  <c r="S29" i="2" l="1"/>
  <c r="T17" i="2" s="1"/>
  <c r="T18" i="2" s="1"/>
  <c r="T19" i="2" s="1"/>
  <c r="T20" i="2" s="1"/>
  <c r="T22" i="2" l="1"/>
  <c r="T29" i="2"/>
  <c r="U17" i="2" s="1"/>
  <c r="U18" i="2" s="1"/>
  <c r="U19" i="2" s="1"/>
  <c r="U20" i="2" l="1"/>
  <c r="U22" i="2" l="1"/>
  <c r="U29" i="2"/>
  <c r="V17" i="2" l="1"/>
  <c r="V18" i="2" s="1"/>
  <c r="V19" i="2" l="1"/>
  <c r="V20" i="2" s="1"/>
  <c r="V22" i="2" l="1"/>
  <c r="V29" i="2"/>
  <c r="W17" i="2" l="1"/>
  <c r="W18" i="2" s="1"/>
  <c r="W19" i="2" l="1"/>
  <c r="W20" i="2" s="1"/>
  <c r="W22" i="2" l="1"/>
  <c r="W29" i="2"/>
  <c r="X17" i="2" l="1"/>
  <c r="X18" i="2" s="1"/>
  <c r="X19" i="2" l="1"/>
  <c r="X20" i="2" s="1"/>
  <c r="X22" i="2" l="1"/>
  <c r="X29" i="2"/>
  <c r="Y17" i="2" l="1"/>
  <c r="Y18" i="2" s="1"/>
  <c r="Y19" i="2" l="1"/>
  <c r="Y20" i="2" s="1"/>
  <c r="Y22" i="2" l="1"/>
  <c r="Z20" i="2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BP20" i="2" s="1"/>
  <c r="BQ20" i="2" s="1"/>
  <c r="BR20" i="2" s="1"/>
  <c r="BS20" i="2" s="1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CD20" i="2" s="1"/>
  <c r="CE20" i="2" s="1"/>
  <c r="CF20" i="2" s="1"/>
  <c r="CG20" i="2" s="1"/>
  <c r="CH20" i="2" s="1"/>
  <c r="CI20" i="2" s="1"/>
  <c r="CJ20" i="2" s="1"/>
  <c r="CK20" i="2" s="1"/>
  <c r="CL20" i="2" s="1"/>
  <c r="CM20" i="2" s="1"/>
  <c r="CN20" i="2" s="1"/>
  <c r="CO20" i="2" s="1"/>
  <c r="CP20" i="2" s="1"/>
  <c r="CQ20" i="2" s="1"/>
  <c r="CR20" i="2" s="1"/>
  <c r="CS20" i="2" s="1"/>
  <c r="CT20" i="2" s="1"/>
  <c r="CU20" i="2" s="1"/>
  <c r="CV20" i="2" s="1"/>
  <c r="CW20" i="2" s="1"/>
  <c r="CX20" i="2" s="1"/>
  <c r="CY20" i="2" s="1"/>
  <c r="CZ20" i="2" s="1"/>
  <c r="DA20" i="2" s="1"/>
  <c r="DB20" i="2" s="1"/>
  <c r="DC20" i="2" s="1"/>
  <c r="DD20" i="2" s="1"/>
  <c r="DE20" i="2" s="1"/>
  <c r="DF20" i="2" s="1"/>
  <c r="DG20" i="2" s="1"/>
  <c r="DH20" i="2" s="1"/>
  <c r="DI20" i="2" s="1"/>
  <c r="AB26" i="2" s="1"/>
  <c r="Y29" i="2"/>
  <c r="AB27" i="2" l="1"/>
  <c r="AB2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tc={14C6780A-F556-4130-AA8A-C0E6A846B2BC}</author>
  </authors>
  <commentList>
    <comment ref="C10" authorId="0" shapeId="0" xr:uid="{14C6780A-F556-4130-AA8A-C0E6A846B2BC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in combination w/ capivasertib (trucap)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tc={257C9974-090A-4346-B9FD-7E7569BA05CF}</author>
  </authors>
  <commentList>
    <comment ref="B7" authorId="0" shapeId="0" xr:uid="{257C9974-090A-4346-B9FD-7E7569BA05CF}">
      <text>
        <t>[Threaded comment]
Your version of Excel allows you to read this threaded comment; however, any edits to it will get removed if the file is opened in a newer version of Excel. Learn more: https://go.microsoft.com/fwlink/?linkid=870924
Comment:
    Global rights out-licensed to Novartis in 2024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tc={1FDBB68D-0997-44A4-8BDA-D49BD386A404}</author>
  </authors>
  <commentList>
    <comment ref="C2" authorId="0" shapeId="0" xr:uid="{1FDBB68D-0997-44A4-8BDA-D49BD386A404}">
      <text>
        <t>[Threaded comment]
Your version of Excel allows you to read this threaded comment; however, any edits to it will get removed if the file is opened in a newer version of Excel. Learn more: https://go.microsoft.com/fwlink/?linkid=870924
Comment:
    Novel drug</t>
      </text>
    </comment>
  </commentList>
</comments>
</file>

<file path=xl/sharedStrings.xml><?xml version="1.0" encoding="utf-8"?>
<sst xmlns="http://schemas.openxmlformats.org/spreadsheetml/2006/main" count="166" uniqueCount="105">
  <si>
    <t>Price</t>
  </si>
  <si>
    <t>Shares</t>
  </si>
  <si>
    <t>MC</t>
  </si>
  <si>
    <t>Cash</t>
  </si>
  <si>
    <t>Debt</t>
  </si>
  <si>
    <t>EV</t>
  </si>
  <si>
    <t>Q125</t>
  </si>
  <si>
    <t>Main</t>
  </si>
  <si>
    <t>Revenue</t>
  </si>
  <si>
    <t>R&amp;D</t>
  </si>
  <si>
    <t>G&amp;A</t>
  </si>
  <si>
    <t>Operating Expenses</t>
  </si>
  <si>
    <t>Operating Income</t>
  </si>
  <si>
    <t>Interest Income</t>
  </si>
  <si>
    <t>Pretax Income</t>
  </si>
  <si>
    <t>Tax</t>
  </si>
  <si>
    <t>Net Income</t>
  </si>
  <si>
    <t>EPS</t>
  </si>
  <si>
    <t>Revenue y/y</t>
  </si>
  <si>
    <t>Vepdegestrant</t>
  </si>
  <si>
    <t>ARV-393</t>
  </si>
  <si>
    <t>Q124</t>
  </si>
  <si>
    <t>Q224</t>
  </si>
  <si>
    <t>Q324</t>
  </si>
  <si>
    <t>Q424</t>
  </si>
  <si>
    <t>Q225</t>
  </si>
  <si>
    <t>Q325</t>
  </si>
  <si>
    <t>Q425</t>
  </si>
  <si>
    <t>Operating Margin</t>
  </si>
  <si>
    <t>Net Cash</t>
  </si>
  <si>
    <t>ROIC</t>
  </si>
  <si>
    <t>Maturity</t>
  </si>
  <si>
    <t>Discount</t>
  </si>
  <si>
    <t>NPV</t>
  </si>
  <si>
    <t>Diff</t>
  </si>
  <si>
    <t>Tax Rate</t>
  </si>
  <si>
    <t>ARV-102</t>
  </si>
  <si>
    <t>ARV-806</t>
  </si>
  <si>
    <t>ARV-766</t>
  </si>
  <si>
    <t>Indication</t>
  </si>
  <si>
    <t>MOA</t>
  </si>
  <si>
    <t>Brand</t>
  </si>
  <si>
    <t>Generic</t>
  </si>
  <si>
    <t>Phase</t>
  </si>
  <si>
    <t>Economics</t>
  </si>
  <si>
    <t>IP</t>
  </si>
  <si>
    <t>ARV-471</t>
  </si>
  <si>
    <t>III</t>
  </si>
  <si>
    <t>I</t>
  </si>
  <si>
    <t>Breast Cancer</t>
  </si>
  <si>
    <t>luxdegalutamide</t>
  </si>
  <si>
    <t>vepdegestrant</t>
  </si>
  <si>
    <t>PROTAC BCL6</t>
  </si>
  <si>
    <t>PROTAC ER</t>
  </si>
  <si>
    <t>Clinical Trials</t>
  </si>
  <si>
    <t>NVS milestones</t>
  </si>
  <si>
    <t>shared w/ PFE</t>
  </si>
  <si>
    <t>Prostate Cancer</t>
  </si>
  <si>
    <t>Alzheimers/Parkinsons</t>
  </si>
  <si>
    <t xml:space="preserve">PROTAC LRRK2 </t>
  </si>
  <si>
    <t>PROTAC KRAS G12</t>
  </si>
  <si>
    <t>PROTAC AR</t>
  </si>
  <si>
    <t>John Houston, Ph.D - CEO</t>
  </si>
  <si>
    <t>Noah Berkowitz, M.D - Chief Medical Officer</t>
  </si>
  <si>
    <t>Angela M. Cacace, Ph.D - Chief Scientific Officer</t>
  </si>
  <si>
    <t>Jeff Boyle - Investors Relations - Jeff.Boyle@arvinas.com</t>
  </si>
  <si>
    <t>Kirsten Owens - Media - Kirsten.Owens@arvinas.com</t>
  </si>
  <si>
    <t>LBCL/FL</t>
  </si>
  <si>
    <t>Tumors w/ KRAS mutation</t>
  </si>
  <si>
    <t>AM Vepdegestrant</t>
  </si>
  <si>
    <t>Vepdegestrant Price</t>
  </si>
  <si>
    <t>fulvestrant</t>
  </si>
  <si>
    <t>AZN</t>
  </si>
  <si>
    <t>comparable to vepdegestrant</t>
  </si>
  <si>
    <t>Fulvestrant Rev</t>
  </si>
  <si>
    <t>Faslodex</t>
  </si>
  <si>
    <t>Truqap Rev</t>
  </si>
  <si>
    <t>Preclinical</t>
  </si>
  <si>
    <t>Phase III "VERITAC-2"</t>
  </si>
  <si>
    <t>Phase I</t>
  </si>
  <si>
    <t>Present data 2Q 2025</t>
  </si>
  <si>
    <t>Share data w/ regulatory authorities &amp; submit drug application to FDA 2H 2025</t>
  </si>
  <si>
    <t>PFE combination cohort w/ KAT6 inhibitor "PF-07248144"</t>
  </si>
  <si>
    <t>evaluating KAT6 inhibitor in combination w/ endocrine therapies following CDK4/6 inhibitor treatments</t>
  </si>
  <si>
    <t>Phase I "NCT04606446" by PFE</t>
  </si>
  <si>
    <t>Present final data from SAD/MAD cohorts in healthy volunteers 2H 2025</t>
  </si>
  <si>
    <t>Continue &amp; present initial data from SAD cohort of Phase I w/ Parkinson's 2H 2025</t>
  </si>
  <si>
    <t>Initiate MAD cohort in Phase I w/ Parkinson's 2H 2025</t>
  </si>
  <si>
    <t>Present data demonstrating single agent activity in patient derived xenograft models of transformed Follicular Lymphoma &amp; patient-derived xenograft model of nTFHL-AI "a rare and aggressive non-Hodgkin lymphoma with high unmet need and limited treatment options" June 12-15 2025</t>
  </si>
  <si>
    <t>Share data in combination w/ an emerging SOC option 2H 2025</t>
  </si>
  <si>
    <t>Phase I in patients w/ NHL "NCT06393738"</t>
  </si>
  <si>
    <t>Share preliminary data 2H 2025</t>
  </si>
  <si>
    <t>Initate first-in-human Phase I in patients w/ solid tumors harboring KRAS G12D mutations 2H 2025</t>
  </si>
  <si>
    <t>Ligase IP</t>
  </si>
  <si>
    <t>Linker IP</t>
  </si>
  <si>
    <t>Target IP</t>
  </si>
  <si>
    <t>Assay IP</t>
  </si>
  <si>
    <t>ADME/PK assays or data analysis directed at PROTAC characterization or predictions</t>
  </si>
  <si>
    <t>Linkers as independent components of protein degrader compositions</t>
  </si>
  <si>
    <t>Target Binding Moieties as independent components of protein degrader compositions</t>
  </si>
  <si>
    <t>Ubiquitin Ligase Binding Moieties as components of protein degrader compositions</t>
  </si>
  <si>
    <t>NVS milestones &amp; royalties</t>
  </si>
  <si>
    <t>BMS-986365 for mCRPC</t>
  </si>
  <si>
    <t>mCRPC</t>
  </si>
  <si>
    <t>Competition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</si>
</sst>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rial"/>
      <family val="2"/>
    </font>
    <font>
      <b/>
      <u/>
      <sz val="11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1"/>
    <xf numFmtId="0" fontId="4" fillId="0" borderId="0" xfId="0" applyFont="1"/>
    <xf numFmtId="3" fontId="6" fillId="0" borderId="0" xfId="1" applyNumberFormat="1" applyFont="1"/>
    <xf numFmtId="3" fontId="2" fillId="0" borderId="0" xfId="0" applyNumberFormat="1" applyFont="1"/>
    <xf numFmtId="1" fontId="2" fillId="0" borderId="0" xfId="0" applyNumberFormat="1" applyFont="1"/>
    <xf numFmtId="3" fontId="5" fillId="0" borderId="0" xfId="0" applyNumberFormat="1" applyFont="1"/>
    <xf numFmtId="4" fontId="2" fillId="0" borderId="0" xfId="0" applyNumberFormat="1" applyFont="1"/>
    <xf numFmtId="10" fontId="2" fillId="0" borderId="0" xfId="0" applyNumberFormat="1" applyFont="1"/>
    <xf numFmtId="9" fontId="5" fillId="0" borderId="0" xfId="0" applyNumberFormat="1" applyFont="1"/>
    <xf numFmtId="9" fontId="2" fillId="0" borderId="0" xfId="0" applyNumberFormat="1" applyFont="1"/>
    <xf numFmtId="0" fontId="5" fillId="0" borderId="0" xfId="0" applyFont="1"/>
    <xf numFmtId="0" fontId="2" fillId="0" borderId="0" xfId="0" applyFont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3" fontId="2" fillId="0" borderId="1" xfId="0" applyNumberFormat="1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3" fontId="6" fillId="0" borderId="0" xfId="1" applyNumberFormat="1" applyFont="1" applyBorder="1" applyAlignment="1"/>
    <xf numFmtId="3" fontId="2" fillId="0" borderId="3" xfId="0" applyNumberFormat="1" applyFont="1" applyBorder="1"/>
    <xf numFmtId="0" fontId="6" fillId="0" borderId="4" xfId="1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7" fillId="0" borderId="0" xfId="0" applyFont="1"/>
    <xf numFmtId="0" fontId="1" fillId="0" borderId="4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9525</xdr:rowOff>
    </xdr:from>
    <xdr:to>
      <xdr:col>7</xdr:col>
      <xdr:colOff>0</xdr:colOff>
      <xdr:row>62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0CAE2E9-4F20-1540-74DA-6B6908166C24}"/>
            </a:ext>
          </a:extLst>
        </xdr:cNvPr>
        <xdr:cNvCxnSpPr/>
      </xdr:nvCxnSpPr>
      <xdr:spPr>
        <a:xfrm>
          <a:off x="5086350" y="9525"/>
          <a:ext cx="0" cy="98298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0</xdr:row>
      <xdr:rowOff>0</xdr:rowOff>
    </xdr:from>
    <xdr:to>
      <xdr:col>15</xdr:col>
      <xdr:colOff>47625</xdr:colOff>
      <xdr:row>49</xdr:row>
      <xdr:rowOff>19050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91727AC9-B7D8-D2D4-77CB-5E1ECF693A7D}"/>
            </a:ext>
          </a:extLst>
        </xdr:cNvPr>
        <xdr:cNvCxnSpPr/>
      </xdr:nvCxnSpPr>
      <xdr:spPr>
        <a:xfrm>
          <a:off x="10591800" y="0"/>
          <a:ext cx="28575" cy="89344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B253967C-2172-4B8C-B998-19CF003D6A6D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0" dT="2025-05-30T16:46:09.89" personId="{B253967C-2172-4B8C-B998-19CF003D6A6D}" id="{14C6780A-F556-4130-AA8A-C0E6A846B2BC}">
    <text>Approved in combination w/ capivasertib (trucap)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7" dT="2025-05-30T03:51:43.55" personId="{B253967C-2172-4B8C-B998-19CF003D6A6D}" id="{257C9974-090A-4346-B9FD-7E7569BA05CF}">
    <text>Global rights out-licensed to Novartis in 2024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2" dT="2025-05-31T00:22:37.82" personId="{B253967C-2172-4B8C-B998-19CF003D6A6D}" id="{1FDBB68D-0997-44A4-8BDA-D49BD386A404}">
    <text>Novel drug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BB678-3E4D-4596-B817-7F0BBEA796CF}">
  <dimension ref="A1:L24"/>
  <sheetViews>
    <sheetView zoomScale="115" zoomScaleNormal="115" workbookViewId="0">
      <selection activeCell="D8" sqref="D8"/>
    </sheetView>
  </sheetViews>
  <sheetFormatPr defaultRowHeight="12.75" x14ac:dyDescent="0.2"/>
  <cols>
    <col min="1" max="1" width="3.5" style="12" customWidth="1"/>
    <col min="2" max="2" width="9" style="12"/>
    <col min="3" max="3" width="14.125" style="12" customWidth="1"/>
    <col min="4" max="4" width="22.875" style="12" customWidth="1"/>
    <col min="5" max="5" width="9" style="12"/>
    <col min="6" max="6" width="15.125" style="12" customWidth="1"/>
    <col min="7" max="7" width="19.25" style="12" customWidth="1"/>
    <col min="8" max="16384" width="9" style="12"/>
  </cols>
  <sheetData>
    <row r="1" spans="1:12" x14ac:dyDescent="0.2">
      <c r="A1" s="11"/>
    </row>
    <row r="3" spans="1:12" x14ac:dyDescent="0.2">
      <c r="B3" s="13" t="s">
        <v>41</v>
      </c>
      <c r="C3" s="14" t="s">
        <v>42</v>
      </c>
      <c r="D3" s="14" t="s">
        <v>39</v>
      </c>
      <c r="E3" s="14" t="s">
        <v>43</v>
      </c>
      <c r="F3" s="14" t="s">
        <v>44</v>
      </c>
      <c r="G3" s="14" t="s">
        <v>40</v>
      </c>
      <c r="H3" s="15" t="s">
        <v>45</v>
      </c>
      <c r="J3" s="12" t="s">
        <v>0</v>
      </c>
      <c r="K3" s="7">
        <v>7.5</v>
      </c>
    </row>
    <row r="4" spans="1:12" x14ac:dyDescent="0.2">
      <c r="B4" s="16" t="s">
        <v>36</v>
      </c>
      <c r="D4" s="12" t="s">
        <v>58</v>
      </c>
      <c r="E4" s="17" t="s">
        <v>48</v>
      </c>
      <c r="F4" s="17"/>
      <c r="G4" s="12" t="s">
        <v>59</v>
      </c>
      <c r="H4" s="18"/>
      <c r="J4" s="12" t="s">
        <v>1</v>
      </c>
      <c r="K4" s="4">
        <v>72.991389999999996</v>
      </c>
      <c r="L4" s="12" t="s">
        <v>6</v>
      </c>
    </row>
    <row r="5" spans="1:12" x14ac:dyDescent="0.2">
      <c r="B5" s="16" t="s">
        <v>20</v>
      </c>
      <c r="D5" s="12" t="s">
        <v>67</v>
      </c>
      <c r="E5" s="17" t="s">
        <v>48</v>
      </c>
      <c r="F5" s="17"/>
      <c r="G5" s="12" t="s">
        <v>52</v>
      </c>
      <c r="H5" s="18"/>
      <c r="J5" s="12" t="s">
        <v>2</v>
      </c>
      <c r="K5" s="4">
        <f>K4*K3</f>
        <v>547.43542500000001</v>
      </c>
    </row>
    <row r="6" spans="1:12" x14ac:dyDescent="0.2">
      <c r="B6" s="16" t="s">
        <v>37</v>
      </c>
      <c r="D6" s="12" t="s">
        <v>68</v>
      </c>
      <c r="E6" s="17" t="s">
        <v>48</v>
      </c>
      <c r="F6" s="17"/>
      <c r="G6" s="12" t="s">
        <v>60</v>
      </c>
      <c r="H6" s="18"/>
      <c r="J6" s="12" t="s">
        <v>3</v>
      </c>
      <c r="K6" s="4">
        <f>81+873.3</f>
        <v>954.3</v>
      </c>
      <c r="L6" s="12" t="s">
        <v>6</v>
      </c>
    </row>
    <row r="7" spans="1:12" x14ac:dyDescent="0.2">
      <c r="B7" s="16" t="s">
        <v>46</v>
      </c>
      <c r="C7" s="19" t="s">
        <v>51</v>
      </c>
      <c r="D7" s="12" t="s">
        <v>49</v>
      </c>
      <c r="E7" s="17" t="s">
        <v>47</v>
      </c>
      <c r="F7" s="17" t="s">
        <v>56</v>
      </c>
      <c r="G7" s="12" t="s">
        <v>53</v>
      </c>
      <c r="H7" s="18"/>
      <c r="J7" s="12" t="s">
        <v>4</v>
      </c>
      <c r="K7" s="4">
        <f>118.4+0.5+8.1</f>
        <v>127</v>
      </c>
      <c r="L7" s="12" t="s">
        <v>6</v>
      </c>
    </row>
    <row r="8" spans="1:12" x14ac:dyDescent="0.2">
      <c r="B8" s="20" t="s">
        <v>38</v>
      </c>
      <c r="C8" s="21" t="s">
        <v>50</v>
      </c>
      <c r="D8" s="26" t="s">
        <v>103</v>
      </c>
      <c r="E8" s="23" t="s">
        <v>47</v>
      </c>
      <c r="F8" s="23" t="s">
        <v>101</v>
      </c>
      <c r="G8" s="22" t="s">
        <v>61</v>
      </c>
      <c r="H8" s="24"/>
      <c r="J8" s="12" t="s">
        <v>5</v>
      </c>
      <c r="K8" s="4">
        <f>K4+K7-K6</f>
        <v>-754.30860999999993</v>
      </c>
    </row>
    <row r="10" spans="1:12" x14ac:dyDescent="0.2">
      <c r="B10" s="4" t="s">
        <v>75</v>
      </c>
      <c r="C10" s="4" t="s">
        <v>71</v>
      </c>
      <c r="D10" s="12" t="s">
        <v>73</v>
      </c>
      <c r="F10" s="12" t="s">
        <v>72</v>
      </c>
      <c r="K10" s="4"/>
    </row>
    <row r="13" spans="1:12" x14ac:dyDescent="0.2">
      <c r="B13" s="12" t="s">
        <v>62</v>
      </c>
      <c r="F13" s="12" t="s">
        <v>96</v>
      </c>
      <c r="G13" s="12" t="s">
        <v>97</v>
      </c>
    </row>
    <row r="14" spans="1:12" x14ac:dyDescent="0.2">
      <c r="B14" s="12" t="s">
        <v>63</v>
      </c>
      <c r="F14" s="12" t="s">
        <v>93</v>
      </c>
      <c r="G14" s="12" t="s">
        <v>100</v>
      </c>
    </row>
    <row r="15" spans="1:12" x14ac:dyDescent="0.2">
      <c r="B15" s="12" t="s">
        <v>64</v>
      </c>
      <c r="F15" s="12" t="s">
        <v>94</v>
      </c>
      <c r="G15" s="12" t="s">
        <v>98</v>
      </c>
    </row>
    <row r="16" spans="1:12" x14ac:dyDescent="0.2">
      <c r="B16" s="12" t="s">
        <v>65</v>
      </c>
      <c r="F16" s="12" t="s">
        <v>95</v>
      </c>
      <c r="G16" s="12" t="s">
        <v>99</v>
      </c>
    </row>
    <row r="17" spans="2:8" x14ac:dyDescent="0.2">
      <c r="B17" s="12" t="s">
        <v>66</v>
      </c>
      <c r="H17" s="10"/>
    </row>
    <row r="24" spans="2:8" x14ac:dyDescent="0.2">
      <c r="B24" s="25"/>
    </row>
  </sheetData>
  <hyperlinks>
    <hyperlink ref="C8" location="Luxdegalutamide!A1" display="luxdegalutamide" xr:uid="{A8FFEFE6-4C43-4319-A43D-6533B34FA89A}"/>
    <hyperlink ref="C7" location="Vepdegestrant!A1" display="vepdegestrant" xr:uid="{3B912642-2AA9-48E1-9FD8-C48A2E11EFC3}"/>
  </hyperlink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3490E-060A-4BBA-A7F8-7C82CDA69E04}">
  <dimension ref="A1:DI33"/>
  <sheetViews>
    <sheetView tabSelected="1" zoomScale="130" zoomScaleNormal="130" workbookViewId="0">
      <pane xSplit="2" ySplit="1" topLeftCell="R2" activePane="bottomRight" state="frozen"/>
      <selection pane="topRight" activeCell="C1" sqref="C1"/>
      <selection pane="bottomLeft" activeCell="A2" sqref="A2"/>
      <selection pane="bottomRight" activeCell="AC13" sqref="AC13"/>
    </sheetView>
  </sheetViews>
  <sheetFormatPr defaultRowHeight="12.75" x14ac:dyDescent="0.2"/>
  <cols>
    <col min="1" max="1" width="4.375" style="4" customWidth="1"/>
    <col min="2" max="2" width="17.375" style="4" customWidth="1"/>
    <col min="3" max="16384" width="9" style="4"/>
  </cols>
  <sheetData>
    <row r="1" spans="1:25" x14ac:dyDescent="0.2">
      <c r="A1" s="3" t="s">
        <v>7</v>
      </c>
      <c r="C1" s="4" t="s">
        <v>21</v>
      </c>
      <c r="D1" s="4" t="s">
        <v>22</v>
      </c>
      <c r="E1" s="4" t="s">
        <v>23</v>
      </c>
      <c r="F1" s="4" t="s">
        <v>24</v>
      </c>
      <c r="G1" s="4" t="s">
        <v>6</v>
      </c>
      <c r="H1" s="4" t="s">
        <v>25</v>
      </c>
      <c r="I1" s="4" t="s">
        <v>26</v>
      </c>
      <c r="J1" s="4" t="s">
        <v>27</v>
      </c>
      <c r="L1" s="5">
        <v>2022</v>
      </c>
      <c r="M1" s="5">
        <f>L1+1</f>
        <v>2023</v>
      </c>
      <c r="N1" s="5">
        <f>M1+1</f>
        <v>2024</v>
      </c>
      <c r="O1" s="5">
        <f>N1+1</f>
        <v>2025</v>
      </c>
      <c r="P1" s="5">
        <f t="shared" ref="P1:T1" si="0">O1+1</f>
        <v>2026</v>
      </c>
      <c r="Q1" s="5">
        <f t="shared" si="0"/>
        <v>2027</v>
      </c>
      <c r="R1" s="5">
        <f t="shared" si="0"/>
        <v>2028</v>
      </c>
      <c r="S1" s="5">
        <f t="shared" si="0"/>
        <v>2029</v>
      </c>
      <c r="T1" s="5">
        <f t="shared" si="0"/>
        <v>2030</v>
      </c>
      <c r="U1" s="5">
        <f t="shared" ref="U1" si="1">T1+1</f>
        <v>2031</v>
      </c>
      <c r="V1" s="5">
        <f t="shared" ref="V1" si="2">U1+1</f>
        <v>2032</v>
      </c>
      <c r="W1" s="5">
        <f t="shared" ref="W1" si="3">V1+1</f>
        <v>2033</v>
      </c>
      <c r="X1" s="5">
        <f t="shared" ref="X1" si="4">W1+1</f>
        <v>2034</v>
      </c>
      <c r="Y1" s="5">
        <f t="shared" ref="Y1" si="5">X1+1</f>
        <v>2035</v>
      </c>
    </row>
    <row r="2" spans="1:25" x14ac:dyDescent="0.2">
      <c r="A2" s="3"/>
      <c r="B2" s="4" t="s">
        <v>69</v>
      </c>
      <c r="L2" s="5"/>
      <c r="M2" s="5"/>
      <c r="N2" s="4">
        <v>20000</v>
      </c>
      <c r="O2" s="4">
        <f>N2*1.02</f>
        <v>20400</v>
      </c>
      <c r="P2" s="4">
        <f>O2*1.04</f>
        <v>21216</v>
      </c>
      <c r="Q2" s="4">
        <f t="shared" ref="Q2:Y2" si="6">P2*1.04</f>
        <v>22064.639999999999</v>
      </c>
      <c r="R2" s="4">
        <f t="shared" si="6"/>
        <v>22947.225600000002</v>
      </c>
      <c r="S2" s="4">
        <f t="shared" si="6"/>
        <v>23865.114624000002</v>
      </c>
      <c r="T2" s="4">
        <f t="shared" si="6"/>
        <v>24819.719208960003</v>
      </c>
      <c r="U2" s="4">
        <f t="shared" si="6"/>
        <v>25812.507977318404</v>
      </c>
      <c r="V2" s="4">
        <f t="shared" si="6"/>
        <v>26845.008296411143</v>
      </c>
      <c r="W2" s="4">
        <f t="shared" si="6"/>
        <v>27918.80862826759</v>
      </c>
      <c r="X2" s="4">
        <f t="shared" si="6"/>
        <v>29035.560973398296</v>
      </c>
      <c r="Y2" s="4">
        <f t="shared" si="6"/>
        <v>30196.98341233423</v>
      </c>
    </row>
    <row r="3" spans="1:25" x14ac:dyDescent="0.2">
      <c r="A3" s="3"/>
      <c r="B3" s="4" t="s">
        <v>70</v>
      </c>
      <c r="L3" s="5"/>
      <c r="M3" s="5"/>
      <c r="N3" s="4">
        <v>10000</v>
      </c>
      <c r="O3" s="4">
        <v>10000</v>
      </c>
      <c r="P3" s="4">
        <v>10000</v>
      </c>
      <c r="Q3" s="4">
        <v>10000</v>
      </c>
      <c r="R3" s="4">
        <f>Q3*1.01</f>
        <v>10100</v>
      </c>
      <c r="S3" s="4">
        <f t="shared" ref="S3:Y3" si="7">R3*1.01</f>
        <v>10201</v>
      </c>
      <c r="T3" s="4">
        <f t="shared" si="7"/>
        <v>10303.01</v>
      </c>
      <c r="U3" s="4">
        <f t="shared" si="7"/>
        <v>10406.0401</v>
      </c>
      <c r="V3" s="4">
        <f t="shared" si="7"/>
        <v>10510.100501000001</v>
      </c>
      <c r="W3" s="4">
        <f t="shared" si="7"/>
        <v>10615.20150601</v>
      </c>
      <c r="X3" s="4">
        <f t="shared" si="7"/>
        <v>10721.353521070101</v>
      </c>
      <c r="Y3" s="4">
        <f t="shared" si="7"/>
        <v>10828.567056280803</v>
      </c>
    </row>
    <row r="4" spans="1:25" x14ac:dyDescent="0.2">
      <c r="A4" s="3"/>
      <c r="B4" s="4" t="s">
        <v>74</v>
      </c>
      <c r="L4" s="4">
        <v>334</v>
      </c>
      <c r="M4" s="5">
        <v>297</v>
      </c>
      <c r="N4" s="4">
        <v>220</v>
      </c>
    </row>
    <row r="5" spans="1:25" x14ac:dyDescent="0.2">
      <c r="A5" s="3"/>
      <c r="B5" s="4" t="s">
        <v>76</v>
      </c>
      <c r="M5" s="5"/>
      <c r="N5" s="4">
        <v>430</v>
      </c>
    </row>
    <row r="6" spans="1:25" x14ac:dyDescent="0.2">
      <c r="A6" s="3"/>
      <c r="L6" s="5"/>
      <c r="M6" s="5"/>
      <c r="N6" s="5"/>
      <c r="O6" s="5"/>
      <c r="P6" s="5"/>
    </row>
    <row r="7" spans="1:25" x14ac:dyDescent="0.2">
      <c r="A7" s="3"/>
      <c r="B7" s="4" t="s">
        <v>38</v>
      </c>
      <c r="C7" s="4">
        <f t="shared" ref="C7:J7" si="8">C12</f>
        <v>25.3</v>
      </c>
      <c r="D7" s="4">
        <f t="shared" si="8"/>
        <v>0</v>
      </c>
      <c r="E7" s="4">
        <f t="shared" si="8"/>
        <v>0</v>
      </c>
      <c r="F7" s="4">
        <f t="shared" si="8"/>
        <v>0</v>
      </c>
      <c r="G7" s="4">
        <f t="shared" si="8"/>
        <v>188.8</v>
      </c>
      <c r="H7" s="4">
        <f t="shared" si="8"/>
        <v>25</v>
      </c>
      <c r="I7" s="4">
        <f t="shared" si="8"/>
        <v>25.25</v>
      </c>
      <c r="J7" s="4">
        <f t="shared" si="8"/>
        <v>25.502500000000001</v>
      </c>
      <c r="M7" s="5"/>
      <c r="N7" s="4">
        <f>N12</f>
        <v>263.39999999999998</v>
      </c>
      <c r="O7" s="4">
        <f>O12</f>
        <v>0</v>
      </c>
      <c r="P7" s="4">
        <v>0</v>
      </c>
      <c r="Q7" s="4">
        <v>250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2">
      <c r="A8" s="3"/>
      <c r="B8" s="4" t="s">
        <v>36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x14ac:dyDescent="0.2">
      <c r="A9" s="3"/>
      <c r="B9" s="4" t="s">
        <v>20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x14ac:dyDescent="0.2">
      <c r="A10" s="3"/>
      <c r="B10" s="4" t="s">
        <v>37</v>
      </c>
      <c r="O10" s="4">
        <f>SUM(G10:J10)</f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  <row r="11" spans="1:25" x14ac:dyDescent="0.2">
      <c r="A11" s="3"/>
      <c r="B11" s="4" t="s">
        <v>19</v>
      </c>
      <c r="O11" s="4">
        <f>SUM(G11:J11)</f>
        <v>0</v>
      </c>
      <c r="P11" s="4">
        <v>0</v>
      </c>
      <c r="Q11" s="5">
        <f>Q3*Q2/1000000/2</f>
        <v>110.3232</v>
      </c>
      <c r="R11" s="5">
        <f t="shared" ref="R11:T11" si="9">R3*R2/1000000/2</f>
        <v>115.88348928000001</v>
      </c>
      <c r="S11" s="5">
        <f t="shared" si="9"/>
        <v>121.724017139712</v>
      </c>
      <c r="T11" s="5">
        <f t="shared" si="9"/>
        <v>127.8589076035535</v>
      </c>
      <c r="U11" s="5">
        <f t="shared" ref="U11:Y11" si="10">U3*U2/1000000/2</f>
        <v>134.30299654677259</v>
      </c>
      <c r="V11" s="5">
        <f t="shared" si="10"/>
        <v>141.07186757272999</v>
      </c>
      <c r="W11" s="5">
        <f t="shared" si="10"/>
        <v>148.18188969839554</v>
      </c>
      <c r="X11" s="5">
        <f t="shared" si="10"/>
        <v>155.65025693919472</v>
      </c>
      <c r="Y11" s="5">
        <f t="shared" si="10"/>
        <v>163.49502988893013</v>
      </c>
    </row>
    <row r="12" spans="1:25" s="6" customFormat="1" x14ac:dyDescent="0.2">
      <c r="A12" s="4"/>
      <c r="B12" s="6" t="s">
        <v>8</v>
      </c>
      <c r="C12" s="6">
        <v>25.3</v>
      </c>
      <c r="G12" s="6">
        <v>188.8</v>
      </c>
      <c r="H12" s="6">
        <v>25</v>
      </c>
      <c r="I12" s="6">
        <f t="shared" ref="I12:J12" si="11">H12*1.01</f>
        <v>25.25</v>
      </c>
      <c r="J12" s="6">
        <f t="shared" si="11"/>
        <v>25.502500000000001</v>
      </c>
      <c r="L12" s="6">
        <v>131.4</v>
      </c>
      <c r="M12" s="6">
        <v>78.5</v>
      </c>
      <c r="N12" s="6">
        <v>263.39999999999998</v>
      </c>
      <c r="O12" s="6">
        <v>0</v>
      </c>
      <c r="P12" s="6">
        <f t="shared" ref="P12:T12" si="12">SUM(P7:P11)</f>
        <v>0</v>
      </c>
      <c r="Q12" s="6">
        <f t="shared" si="12"/>
        <v>360.32319999999999</v>
      </c>
      <c r="R12" s="6">
        <f t="shared" si="12"/>
        <v>115.88348928000001</v>
      </c>
      <c r="S12" s="6">
        <f t="shared" si="12"/>
        <v>121.724017139712</v>
      </c>
      <c r="T12" s="6">
        <f t="shared" si="12"/>
        <v>127.8589076035535</v>
      </c>
      <c r="U12" s="6">
        <f t="shared" ref="U12:Y12" si="13">SUM(U7:U11)</f>
        <v>134.30299654677259</v>
      </c>
      <c r="V12" s="6">
        <f t="shared" si="13"/>
        <v>141.07186757272999</v>
      </c>
      <c r="W12" s="6">
        <f t="shared" si="13"/>
        <v>148.18188969839554</v>
      </c>
      <c r="X12" s="6">
        <f t="shared" si="13"/>
        <v>155.65025693919472</v>
      </c>
      <c r="Y12" s="6">
        <f t="shared" si="13"/>
        <v>163.49502988893013</v>
      </c>
    </row>
    <row r="13" spans="1:25" x14ac:dyDescent="0.2">
      <c r="B13" s="4" t="s">
        <v>9</v>
      </c>
      <c r="C13" s="4">
        <v>84.3</v>
      </c>
      <c r="G13" s="4">
        <v>90.8</v>
      </c>
      <c r="H13" s="4">
        <f>G13</f>
        <v>90.8</v>
      </c>
      <c r="I13" s="4">
        <f t="shared" ref="I13:J13" si="14">H13</f>
        <v>90.8</v>
      </c>
      <c r="J13" s="4">
        <f t="shared" si="14"/>
        <v>90.8</v>
      </c>
      <c r="L13" s="4">
        <v>315</v>
      </c>
      <c r="M13" s="4">
        <v>379.7</v>
      </c>
      <c r="N13" s="4">
        <v>348.2</v>
      </c>
      <c r="O13" s="4">
        <f>SUM(G13:J13)</f>
        <v>363.2</v>
      </c>
      <c r="P13" s="4">
        <f>O13</f>
        <v>363.2</v>
      </c>
    </row>
    <row r="14" spans="1:25" x14ac:dyDescent="0.2">
      <c r="B14" s="4" t="s">
        <v>10</v>
      </c>
      <c r="C14" s="4">
        <v>24.3</v>
      </c>
      <c r="G14" s="4">
        <v>26.6</v>
      </c>
      <c r="H14" s="4">
        <f>G14</f>
        <v>26.6</v>
      </c>
      <c r="I14" s="4">
        <f t="shared" ref="I14:J14" si="15">H14</f>
        <v>26.6</v>
      </c>
      <c r="J14" s="4">
        <f t="shared" si="15"/>
        <v>26.6</v>
      </c>
      <c r="L14" s="4">
        <v>79.599999999999994</v>
      </c>
      <c r="M14" s="4">
        <v>100.3</v>
      </c>
      <c r="N14" s="4">
        <v>165.4</v>
      </c>
      <c r="O14" s="4">
        <f>SUM(G14:J14)</f>
        <v>106.4</v>
      </c>
      <c r="P14" s="4">
        <f>O14*1.04</f>
        <v>110.65600000000001</v>
      </c>
      <c r="Q14" s="4">
        <f t="shared" ref="Q14:Y14" si="16">P14*1.04</f>
        <v>115.08224000000001</v>
      </c>
      <c r="R14" s="4">
        <f t="shared" si="16"/>
        <v>119.68552960000002</v>
      </c>
      <c r="S14" s="4">
        <f t="shared" si="16"/>
        <v>124.47295078400003</v>
      </c>
      <c r="T14" s="4">
        <f t="shared" si="16"/>
        <v>129.45186881536003</v>
      </c>
      <c r="U14" s="4">
        <f t="shared" si="16"/>
        <v>134.62994356797444</v>
      </c>
      <c r="V14" s="4">
        <f t="shared" si="16"/>
        <v>140.01514131069342</v>
      </c>
      <c r="W14" s="4">
        <f t="shared" si="16"/>
        <v>145.61574696312115</v>
      </c>
      <c r="X14" s="4">
        <f t="shared" si="16"/>
        <v>151.44037684164601</v>
      </c>
      <c r="Y14" s="4">
        <f t="shared" si="16"/>
        <v>157.49799191531187</v>
      </c>
    </row>
    <row r="15" spans="1:25" x14ac:dyDescent="0.2">
      <c r="B15" s="4" t="s">
        <v>11</v>
      </c>
      <c r="C15" s="4">
        <f>SUM(C13:C14)</f>
        <v>108.6</v>
      </c>
      <c r="G15" s="4">
        <f>SUM(G13:G14)</f>
        <v>117.4</v>
      </c>
      <c r="H15" s="4">
        <f t="shared" ref="H15:N15" si="17">SUM(H13:H14)</f>
        <v>117.4</v>
      </c>
      <c r="I15" s="4">
        <f t="shared" si="17"/>
        <v>117.4</v>
      </c>
      <c r="J15" s="4">
        <f t="shared" si="17"/>
        <v>117.4</v>
      </c>
      <c r="L15" s="4">
        <f t="shared" si="17"/>
        <v>394.6</v>
      </c>
      <c r="M15" s="4">
        <f t="shared" si="17"/>
        <v>480</v>
      </c>
      <c r="N15" s="4">
        <f t="shared" si="17"/>
        <v>513.6</v>
      </c>
      <c r="O15" s="4">
        <f t="shared" ref="O15" si="18">SUM(O13:O14)</f>
        <v>469.6</v>
      </c>
      <c r="P15" s="4">
        <f t="shared" ref="P15" si="19">SUM(P13:P14)</f>
        <v>473.85599999999999</v>
      </c>
      <c r="Q15" s="4">
        <f t="shared" ref="Q15" si="20">SUM(Q13:Q14)</f>
        <v>115.08224000000001</v>
      </c>
      <c r="R15" s="4">
        <f t="shared" ref="R15" si="21">SUM(R13:R14)</f>
        <v>119.68552960000002</v>
      </c>
      <c r="S15" s="4">
        <f t="shared" ref="S15" si="22">SUM(S13:S14)</f>
        <v>124.47295078400003</v>
      </c>
      <c r="T15" s="4">
        <f t="shared" ref="T15:Y15" si="23">SUM(T13:T14)</f>
        <v>129.45186881536003</v>
      </c>
      <c r="U15" s="4">
        <f t="shared" si="23"/>
        <v>134.62994356797444</v>
      </c>
      <c r="V15" s="4">
        <f t="shared" si="23"/>
        <v>140.01514131069342</v>
      </c>
      <c r="W15" s="4">
        <f t="shared" si="23"/>
        <v>145.61574696312115</v>
      </c>
      <c r="X15" s="4">
        <f t="shared" si="23"/>
        <v>151.44037684164601</v>
      </c>
      <c r="Y15" s="4">
        <f t="shared" si="23"/>
        <v>157.49799191531187</v>
      </c>
    </row>
    <row r="16" spans="1:25" x14ac:dyDescent="0.2">
      <c r="B16" s="4" t="s">
        <v>12</v>
      </c>
      <c r="C16" s="4">
        <f>C12-C15</f>
        <v>-83.3</v>
      </c>
      <c r="G16" s="4">
        <f>G12-G15</f>
        <v>71.400000000000006</v>
      </c>
      <c r="H16" s="4">
        <f t="shared" ref="H16:N16" si="24">H12-H15</f>
        <v>-92.4</v>
      </c>
      <c r="I16" s="4">
        <f t="shared" si="24"/>
        <v>-92.15</v>
      </c>
      <c r="J16" s="4">
        <f t="shared" si="24"/>
        <v>-91.897500000000008</v>
      </c>
      <c r="L16" s="4">
        <f t="shared" si="24"/>
        <v>-263.20000000000005</v>
      </c>
      <c r="M16" s="4">
        <f t="shared" si="24"/>
        <v>-401.5</v>
      </c>
      <c r="N16" s="4">
        <f t="shared" si="24"/>
        <v>-250.20000000000005</v>
      </c>
      <c r="O16" s="4">
        <f t="shared" ref="O16" si="25">O12-O15</f>
        <v>-469.6</v>
      </c>
      <c r="P16" s="4">
        <f t="shared" ref="P16" si="26">P12-P15</f>
        <v>-473.85599999999999</v>
      </c>
      <c r="Q16" s="4">
        <f t="shared" ref="Q16" si="27">Q12-Q15</f>
        <v>245.24095999999997</v>
      </c>
      <c r="R16" s="4">
        <f t="shared" ref="R16" si="28">R12-R15</f>
        <v>-3.8020403200000175</v>
      </c>
      <c r="S16" s="4">
        <f t="shared" ref="S16" si="29">S12-S15</f>
        <v>-2.7489336442880301</v>
      </c>
      <c r="T16" s="4">
        <f t="shared" ref="T16:Y16" si="30">T12-T15</f>
        <v>-1.5929612118065251</v>
      </c>
      <c r="U16" s="4">
        <f t="shared" si="30"/>
        <v>-0.32694702120184616</v>
      </c>
      <c r="V16" s="4">
        <f t="shared" si="30"/>
        <v>1.0567262620365625</v>
      </c>
      <c r="W16" s="4">
        <f t="shared" si="30"/>
        <v>2.5661427352743829</v>
      </c>
      <c r="X16" s="4">
        <f t="shared" si="30"/>
        <v>4.2098800975487052</v>
      </c>
      <c r="Y16" s="4">
        <f t="shared" si="30"/>
        <v>5.9970379736182622</v>
      </c>
    </row>
    <row r="17" spans="1:113" x14ac:dyDescent="0.2">
      <c r="B17" s="4" t="s">
        <v>13</v>
      </c>
      <c r="C17" s="4">
        <v>14</v>
      </c>
      <c r="G17" s="4">
        <v>11.7</v>
      </c>
      <c r="H17" s="4">
        <f>G29*$AB$23/4</f>
        <v>4.1364999999999998</v>
      </c>
      <c r="I17" s="4">
        <f>H29*$AB$23/4</f>
        <v>3.6951824999999996</v>
      </c>
      <c r="J17" s="4">
        <f>I29*$AB$23/4</f>
        <v>3.2529084124999996</v>
      </c>
      <c r="L17" s="4">
        <v>12</v>
      </c>
      <c r="M17" s="4">
        <v>38.799999999999997</v>
      </c>
      <c r="N17" s="4">
        <v>54.8</v>
      </c>
      <c r="O17" s="4">
        <f>SUM(G17:J17)</f>
        <v>22.784590912499997</v>
      </c>
      <c r="P17" s="4">
        <f t="shared" ref="P17:Y17" si="31">O29*$AB$23</f>
        <v>11.238741818249999</v>
      </c>
      <c r="Q17" s="4">
        <f t="shared" si="31"/>
        <v>1.9863966546149983</v>
      </c>
      <c r="R17" s="4">
        <f t="shared" si="31"/>
        <v>6.9309437877072968</v>
      </c>
      <c r="S17" s="4">
        <f t="shared" si="31"/>
        <v>6.9935218570614426</v>
      </c>
      <c r="T17" s="4">
        <f t="shared" si="31"/>
        <v>7.0784136213169111</v>
      </c>
      <c r="U17" s="4">
        <f t="shared" si="31"/>
        <v>7.188122669507119</v>
      </c>
      <c r="V17" s="4">
        <f t="shared" si="31"/>
        <v>7.3253461824732247</v>
      </c>
      <c r="W17" s="4">
        <f t="shared" si="31"/>
        <v>7.4929876313634205</v>
      </c>
      <c r="X17" s="4">
        <f t="shared" si="31"/>
        <v>7.6941702386961763</v>
      </c>
      <c r="Y17" s="4">
        <f t="shared" si="31"/>
        <v>7.9322512454210745</v>
      </c>
    </row>
    <row r="18" spans="1:113" x14ac:dyDescent="0.2">
      <c r="B18" s="4" t="s">
        <v>14</v>
      </c>
      <c r="C18" s="4">
        <f>C16+C17</f>
        <v>-69.3</v>
      </c>
      <c r="G18" s="4">
        <f>G16+G17</f>
        <v>83.100000000000009</v>
      </c>
      <c r="H18" s="4">
        <f t="shared" ref="H18:N18" si="32">H16+H17</f>
        <v>-88.263500000000008</v>
      </c>
      <c r="I18" s="4">
        <f t="shared" si="32"/>
        <v>-88.454817500000004</v>
      </c>
      <c r="J18" s="4">
        <f t="shared" si="32"/>
        <v>-88.644591587500003</v>
      </c>
      <c r="L18" s="4">
        <f t="shared" si="32"/>
        <v>-251.20000000000005</v>
      </c>
      <c r="M18" s="4">
        <f t="shared" si="32"/>
        <v>-362.7</v>
      </c>
      <c r="N18" s="4">
        <f t="shared" si="32"/>
        <v>-195.40000000000003</v>
      </c>
      <c r="O18" s="4">
        <f t="shared" ref="O18" si="33">O16+O17</f>
        <v>-446.81540908750003</v>
      </c>
      <c r="P18" s="4">
        <f t="shared" ref="P18" si="34">P16+P17</f>
        <v>-462.61725818175</v>
      </c>
      <c r="Q18" s="4">
        <f t="shared" ref="Q18" si="35">Q16+Q17</f>
        <v>247.22735665461497</v>
      </c>
      <c r="R18" s="4">
        <f t="shared" ref="R18" si="36">R16+R17</f>
        <v>3.1289034677072793</v>
      </c>
      <c r="S18" s="4">
        <f t="shared" ref="S18" si="37">S16+S17</f>
        <v>4.2445882127734125</v>
      </c>
      <c r="T18" s="4">
        <f t="shared" ref="T18:Y18" si="38">T16+T17</f>
        <v>5.485452409510386</v>
      </c>
      <c r="U18" s="4">
        <f t="shared" si="38"/>
        <v>6.8611756483052728</v>
      </c>
      <c r="V18" s="4">
        <f t="shared" si="38"/>
        <v>8.3820724445097881</v>
      </c>
      <c r="W18" s="4">
        <f t="shared" si="38"/>
        <v>10.059130366637802</v>
      </c>
      <c r="X18" s="4">
        <f t="shared" si="38"/>
        <v>11.904050336244882</v>
      </c>
      <c r="Y18" s="4">
        <f t="shared" si="38"/>
        <v>13.929289219039337</v>
      </c>
    </row>
    <row r="19" spans="1:113" x14ac:dyDescent="0.2">
      <c r="B19" s="4" t="s">
        <v>15</v>
      </c>
      <c r="C19" s="4">
        <v>0.1</v>
      </c>
      <c r="G19" s="4">
        <v>0.2</v>
      </c>
      <c r="H19" s="4">
        <f>H18*H25</f>
        <v>0</v>
      </c>
      <c r="I19" s="4">
        <f t="shared" ref="I19:J19" si="39">I18*I25</f>
        <v>0</v>
      </c>
      <c r="J19" s="4">
        <f t="shared" si="39"/>
        <v>0</v>
      </c>
      <c r="L19" s="4">
        <v>20.9</v>
      </c>
      <c r="M19" s="4">
        <v>0.9</v>
      </c>
      <c r="N19" s="4">
        <v>0.6</v>
      </c>
      <c r="O19" s="4">
        <f>SUM(G19:J19)</f>
        <v>0.2</v>
      </c>
      <c r="P19" s="4">
        <f>P18*P25</f>
        <v>0</v>
      </c>
      <c r="Q19" s="4">
        <f t="shared" ref="Q19:S19" si="40">Q18*Q25</f>
        <v>0</v>
      </c>
      <c r="R19" s="4">
        <f t="shared" si="40"/>
        <v>0</v>
      </c>
      <c r="S19" s="4">
        <f t="shared" si="40"/>
        <v>0</v>
      </c>
      <c r="T19" s="4">
        <f t="shared" ref="T19:Y19" si="41">T18*T25</f>
        <v>0</v>
      </c>
      <c r="U19" s="4">
        <f t="shared" si="41"/>
        <v>0</v>
      </c>
      <c r="V19" s="4">
        <f t="shared" si="41"/>
        <v>0</v>
      </c>
      <c r="W19" s="4">
        <f t="shared" si="41"/>
        <v>0</v>
      </c>
      <c r="X19" s="4">
        <f t="shared" si="41"/>
        <v>0</v>
      </c>
      <c r="Y19" s="4">
        <f t="shared" si="41"/>
        <v>0</v>
      </c>
    </row>
    <row r="20" spans="1:113" s="6" customFormat="1" x14ac:dyDescent="0.2">
      <c r="A20" s="4"/>
      <c r="B20" s="6" t="s">
        <v>16</v>
      </c>
      <c r="C20" s="6">
        <f>C18-C19</f>
        <v>-69.399999999999991</v>
      </c>
      <c r="G20" s="6">
        <f>G18-G19</f>
        <v>82.9</v>
      </c>
      <c r="H20" s="6">
        <f t="shared" ref="H20:N20" si="42">H18-H19</f>
        <v>-88.263500000000008</v>
      </c>
      <c r="I20" s="6">
        <f t="shared" si="42"/>
        <v>-88.454817500000004</v>
      </c>
      <c r="J20" s="6">
        <f t="shared" si="42"/>
        <v>-88.644591587500003</v>
      </c>
      <c r="L20" s="6">
        <f t="shared" si="42"/>
        <v>-272.10000000000002</v>
      </c>
      <c r="M20" s="6">
        <f t="shared" si="42"/>
        <v>-363.59999999999997</v>
      </c>
      <c r="N20" s="6">
        <f t="shared" si="42"/>
        <v>-196.00000000000003</v>
      </c>
      <c r="O20" s="6">
        <f t="shared" ref="O20" si="43">O18-O19</f>
        <v>-447.01540908750002</v>
      </c>
      <c r="P20" s="6">
        <f t="shared" ref="P20" si="44">P18-P19</f>
        <v>-462.61725818175</v>
      </c>
      <c r="Q20" s="6">
        <f t="shared" ref="Q20" si="45">Q18-Q19</f>
        <v>247.22735665461497</v>
      </c>
      <c r="R20" s="6">
        <f t="shared" ref="R20" si="46">R18-R19</f>
        <v>3.1289034677072793</v>
      </c>
      <c r="S20" s="6">
        <f t="shared" ref="S20" si="47">S18-S19</f>
        <v>4.2445882127734125</v>
      </c>
      <c r="T20" s="6">
        <f t="shared" ref="T20:Y20" si="48">T18-T19</f>
        <v>5.485452409510386</v>
      </c>
      <c r="U20" s="6">
        <f t="shared" si="48"/>
        <v>6.8611756483052728</v>
      </c>
      <c r="V20" s="6">
        <f t="shared" si="48"/>
        <v>8.3820724445097881</v>
      </c>
      <c r="W20" s="6">
        <f t="shared" si="48"/>
        <v>10.059130366637802</v>
      </c>
      <c r="X20" s="6">
        <f t="shared" si="48"/>
        <v>11.904050336244882</v>
      </c>
      <c r="Y20" s="6">
        <f t="shared" si="48"/>
        <v>13.929289219039337</v>
      </c>
      <c r="Z20" s="6">
        <f t="shared" ref="Z20:BE20" si="49">Y20*(1+$AB$24)</f>
        <v>13.789996326848943</v>
      </c>
      <c r="AA20" s="6">
        <f t="shared" si="49"/>
        <v>13.652096363580453</v>
      </c>
      <c r="AB20" s="6">
        <f t="shared" si="49"/>
        <v>13.515575399944648</v>
      </c>
      <c r="AC20" s="6">
        <f t="shared" si="49"/>
        <v>13.380419645945201</v>
      </c>
      <c r="AD20" s="6">
        <f t="shared" si="49"/>
        <v>13.246615449485748</v>
      </c>
      <c r="AE20" s="6">
        <f t="shared" si="49"/>
        <v>13.114149294990892</v>
      </c>
      <c r="AF20" s="6">
        <f t="shared" si="49"/>
        <v>12.983007802040982</v>
      </c>
      <c r="AG20" s="6">
        <f t="shared" si="49"/>
        <v>12.853177724020572</v>
      </c>
      <c r="AH20" s="6">
        <f t="shared" si="49"/>
        <v>12.724645946780367</v>
      </c>
      <c r="AI20" s="6">
        <f t="shared" si="49"/>
        <v>12.597399487312563</v>
      </c>
      <c r="AJ20" s="6">
        <f t="shared" si="49"/>
        <v>12.471425492439437</v>
      </c>
      <c r="AK20" s="6">
        <f t="shared" si="49"/>
        <v>12.346711237515041</v>
      </c>
      <c r="AL20" s="6">
        <f t="shared" si="49"/>
        <v>12.223244125139891</v>
      </c>
      <c r="AM20" s="6">
        <f t="shared" si="49"/>
        <v>12.101011683888492</v>
      </c>
      <c r="AN20" s="6">
        <f t="shared" si="49"/>
        <v>11.980001567049607</v>
      </c>
      <c r="AO20" s="6">
        <f t="shared" si="49"/>
        <v>11.860201551379111</v>
      </c>
      <c r="AP20" s="6">
        <f t="shared" si="49"/>
        <v>11.741599535865321</v>
      </c>
      <c r="AQ20" s="6">
        <f t="shared" si="49"/>
        <v>11.624183540506667</v>
      </c>
      <c r="AR20" s="6">
        <f t="shared" si="49"/>
        <v>11.507941705101601</v>
      </c>
      <c r="AS20" s="6">
        <f t="shared" si="49"/>
        <v>11.392862288050585</v>
      </c>
      <c r="AT20" s="6">
        <f t="shared" si="49"/>
        <v>11.278933665170079</v>
      </c>
      <c r="AU20" s="6">
        <f t="shared" si="49"/>
        <v>11.166144328518378</v>
      </c>
      <c r="AV20" s="6">
        <f t="shared" si="49"/>
        <v>11.054482885233194</v>
      </c>
      <c r="AW20" s="6">
        <f t="shared" si="49"/>
        <v>10.943938056380862</v>
      </c>
      <c r="AX20" s="6">
        <f t="shared" si="49"/>
        <v>10.834498675817054</v>
      </c>
      <c r="AY20" s="6">
        <f t="shared" si="49"/>
        <v>10.726153689058883</v>
      </c>
      <c r="AZ20" s="6">
        <f t="shared" si="49"/>
        <v>10.618892152168295</v>
      </c>
      <c r="BA20" s="6">
        <f t="shared" si="49"/>
        <v>10.512703230646611</v>
      </c>
      <c r="BB20" s="6">
        <f t="shared" si="49"/>
        <v>10.407576198340145</v>
      </c>
      <c r="BC20" s="6">
        <f t="shared" si="49"/>
        <v>10.303500436356744</v>
      </c>
      <c r="BD20" s="6">
        <f t="shared" si="49"/>
        <v>10.200465431993177</v>
      </c>
      <c r="BE20" s="6">
        <f t="shared" si="49"/>
        <v>10.098460777673244</v>
      </c>
      <c r="BF20" s="6">
        <f t="shared" ref="BF20:CK20" si="50">BE20*(1+$AB$24)</f>
        <v>9.9974761698965118</v>
      </c>
      <c r="BG20" s="6">
        <f t="shared" si="50"/>
        <v>9.897501408197547</v>
      </c>
      <c r="BH20" s="6">
        <f t="shared" si="50"/>
        <v>9.7985263941155711</v>
      </c>
      <c r="BI20" s="6">
        <f t="shared" si="50"/>
        <v>9.7005411301744147</v>
      </c>
      <c r="BJ20" s="6">
        <f t="shared" si="50"/>
        <v>9.6035357188726707</v>
      </c>
      <c r="BK20" s="6">
        <f t="shared" si="50"/>
        <v>9.5075003616839435</v>
      </c>
      <c r="BL20" s="6">
        <f t="shared" si="50"/>
        <v>9.4124253580671038</v>
      </c>
      <c r="BM20" s="6">
        <f t="shared" si="50"/>
        <v>9.3183011044864319</v>
      </c>
      <c r="BN20" s="6">
        <f t="shared" si="50"/>
        <v>9.2251180934415675</v>
      </c>
      <c r="BO20" s="6">
        <f t="shared" si="50"/>
        <v>9.1328669125071524</v>
      </c>
      <c r="BP20" s="6">
        <f t="shared" si="50"/>
        <v>9.0415382433820817</v>
      </c>
      <c r="BQ20" s="6">
        <f t="shared" si="50"/>
        <v>8.95112286094826</v>
      </c>
      <c r="BR20" s="6">
        <f t="shared" si="50"/>
        <v>8.8616116323387768</v>
      </c>
      <c r="BS20" s="6">
        <f t="shared" si="50"/>
        <v>8.7729955160153885</v>
      </c>
      <c r="BT20" s="6">
        <f t="shared" si="50"/>
        <v>8.6852655608552354</v>
      </c>
      <c r="BU20" s="6">
        <f t="shared" si="50"/>
        <v>8.5984129052466827</v>
      </c>
      <c r="BV20" s="6">
        <f t="shared" si="50"/>
        <v>8.5124287761942163</v>
      </c>
      <c r="BW20" s="6">
        <f t="shared" si="50"/>
        <v>8.4273044884322736</v>
      </c>
      <c r="BX20" s="6">
        <f t="shared" si="50"/>
        <v>8.3430314435479502</v>
      </c>
      <c r="BY20" s="6">
        <f t="shared" si="50"/>
        <v>8.25960112911247</v>
      </c>
      <c r="BZ20" s="6">
        <f t="shared" si="50"/>
        <v>8.177005117821345</v>
      </c>
      <c r="CA20" s="6">
        <f t="shared" si="50"/>
        <v>8.0952350666431308</v>
      </c>
      <c r="CB20" s="6">
        <f t="shared" si="50"/>
        <v>8.0142827159766998</v>
      </c>
      <c r="CC20" s="6">
        <f t="shared" si="50"/>
        <v>7.934139888816933</v>
      </c>
      <c r="CD20" s="6">
        <f t="shared" si="50"/>
        <v>7.8547984899287639</v>
      </c>
      <c r="CE20" s="6">
        <f t="shared" si="50"/>
        <v>7.7762505050294761</v>
      </c>
      <c r="CF20" s="6">
        <f t="shared" si="50"/>
        <v>7.6984879999791813</v>
      </c>
      <c r="CG20" s="6">
        <f t="shared" si="50"/>
        <v>7.6215031199793897</v>
      </c>
      <c r="CH20" s="6">
        <f t="shared" si="50"/>
        <v>7.5452880887795954</v>
      </c>
      <c r="CI20" s="6">
        <f t="shared" si="50"/>
        <v>7.4698352078917996</v>
      </c>
      <c r="CJ20" s="6">
        <f t="shared" si="50"/>
        <v>7.3951368558128818</v>
      </c>
      <c r="CK20" s="6">
        <f t="shared" si="50"/>
        <v>7.3211854872547528</v>
      </c>
      <c r="CL20" s="6">
        <f t="shared" ref="CL20:DI20" si="51">CK20*(1+$AB$24)</f>
        <v>7.2479736323822053</v>
      </c>
      <c r="CM20" s="6">
        <f t="shared" si="51"/>
        <v>7.1754938960583834</v>
      </c>
      <c r="CN20" s="6">
        <f t="shared" si="51"/>
        <v>7.1037389570977991</v>
      </c>
      <c r="CO20" s="6">
        <f t="shared" si="51"/>
        <v>7.0327015675268214</v>
      </c>
      <c r="CP20" s="6">
        <f t="shared" si="51"/>
        <v>6.9623745518515534</v>
      </c>
      <c r="CQ20" s="6">
        <f t="shared" si="51"/>
        <v>6.892750806333038</v>
      </c>
      <c r="CR20" s="6">
        <f t="shared" si="51"/>
        <v>6.8238232982697076</v>
      </c>
      <c r="CS20" s="6">
        <f t="shared" si="51"/>
        <v>6.7555850652870104</v>
      </c>
      <c r="CT20" s="6">
        <f t="shared" si="51"/>
        <v>6.68802921463414</v>
      </c>
      <c r="CU20" s="6">
        <f t="shared" si="51"/>
        <v>6.6211489224877988</v>
      </c>
      <c r="CV20" s="6">
        <f t="shared" si="51"/>
        <v>6.5549374332629204</v>
      </c>
      <c r="CW20" s="6">
        <f t="shared" si="51"/>
        <v>6.4893880589302908</v>
      </c>
      <c r="CX20" s="6">
        <f t="shared" si="51"/>
        <v>6.4244941783409875</v>
      </c>
      <c r="CY20" s="6">
        <f t="shared" si="51"/>
        <v>6.3602492365575776</v>
      </c>
      <c r="CZ20" s="6">
        <f t="shared" si="51"/>
        <v>6.2966467441920013</v>
      </c>
      <c r="DA20" s="6">
        <f t="shared" si="51"/>
        <v>6.2336802767500812</v>
      </c>
      <c r="DB20" s="6">
        <f t="shared" si="51"/>
        <v>6.1713434739825805</v>
      </c>
      <c r="DC20" s="6">
        <f t="shared" si="51"/>
        <v>6.1096300392427549</v>
      </c>
      <c r="DD20" s="6">
        <f t="shared" si="51"/>
        <v>6.0485337388503275</v>
      </c>
      <c r="DE20" s="6">
        <f t="shared" si="51"/>
        <v>5.9880484014618238</v>
      </c>
      <c r="DF20" s="6">
        <f t="shared" si="51"/>
        <v>5.9281679174472055</v>
      </c>
      <c r="DG20" s="6">
        <f t="shared" si="51"/>
        <v>5.8688862382727338</v>
      </c>
      <c r="DH20" s="6">
        <f t="shared" si="51"/>
        <v>5.8101973758900067</v>
      </c>
      <c r="DI20" s="6">
        <f t="shared" si="51"/>
        <v>5.7520954021311068</v>
      </c>
    </row>
    <row r="21" spans="1:113" x14ac:dyDescent="0.2">
      <c r="B21" s="4" t="s">
        <v>1</v>
      </c>
      <c r="C21" s="4">
        <v>71.7</v>
      </c>
      <c r="G21" s="4">
        <v>72.7</v>
      </c>
      <c r="H21" s="4">
        <f>G21*1.02</f>
        <v>74.154000000000011</v>
      </c>
      <c r="I21" s="4">
        <f t="shared" ref="I21:J21" si="52">H21*1.02</f>
        <v>75.637080000000012</v>
      </c>
      <c r="J21" s="4">
        <f t="shared" si="52"/>
        <v>77.14982160000001</v>
      </c>
      <c r="L21" s="4">
        <v>53.2</v>
      </c>
      <c r="M21" s="4">
        <v>55.5</v>
      </c>
      <c r="N21" s="4">
        <v>71.900000000000006</v>
      </c>
      <c r="O21" s="4">
        <f>J21</f>
        <v>77.14982160000001</v>
      </c>
      <c r="P21" s="4">
        <f>O21*1.03</f>
        <v>79.464316248000017</v>
      </c>
      <c r="Q21" s="4">
        <f t="shared" ref="Q21:T21" si="53">P21*1.03</f>
        <v>81.848245735440017</v>
      </c>
      <c r="R21" s="4">
        <f t="shared" si="53"/>
        <v>84.303693107503221</v>
      </c>
      <c r="S21" s="4">
        <f t="shared" si="53"/>
        <v>86.832803900728322</v>
      </c>
      <c r="T21" s="4">
        <f t="shared" si="53"/>
        <v>89.437788017750179</v>
      </c>
      <c r="U21" s="4">
        <f t="shared" ref="U21" si="54">T21*1.03</f>
        <v>92.120921658282683</v>
      </c>
      <c r="V21" s="4">
        <f t="shared" ref="V21" si="55">U21*1.03</f>
        <v>94.884549308031168</v>
      </c>
      <c r="W21" s="4">
        <f t="shared" ref="W21" si="56">V21*1.03</f>
        <v>97.731085787272107</v>
      </c>
      <c r="X21" s="4">
        <f t="shared" ref="X21" si="57">W21*1.03</f>
        <v>100.66301836089028</v>
      </c>
      <c r="Y21" s="4">
        <f t="shared" ref="Y21" si="58">X21*1.03</f>
        <v>103.68290891171699</v>
      </c>
    </row>
    <row r="22" spans="1:113" x14ac:dyDescent="0.2">
      <c r="B22" s="4" t="s">
        <v>17</v>
      </c>
      <c r="C22" s="7">
        <f>C20/C21</f>
        <v>-0.96792189679218954</v>
      </c>
      <c r="G22" s="7">
        <f>G20/G21</f>
        <v>1.1403026134800551</v>
      </c>
      <c r="H22" s="7">
        <f t="shared" ref="H22:N22" si="59">H20/H21</f>
        <v>-1.1902729454918142</v>
      </c>
      <c r="I22" s="7">
        <f t="shared" si="59"/>
        <v>-1.1694636744305833</v>
      </c>
      <c r="J22" s="7">
        <f t="shared" si="59"/>
        <v>-1.1489928265433602</v>
      </c>
      <c r="K22" s="7"/>
      <c r="L22" s="7">
        <f t="shared" si="59"/>
        <v>-5.1146616541353387</v>
      </c>
      <c r="M22" s="7">
        <f t="shared" si="59"/>
        <v>-6.551351351351351</v>
      </c>
      <c r="N22" s="7">
        <f t="shared" si="59"/>
        <v>-2.7260083449235051</v>
      </c>
      <c r="O22" s="7">
        <f t="shared" ref="O22" si="60">O20/O21</f>
        <v>-5.7941210986222158</v>
      </c>
      <c r="P22" s="7">
        <f t="shared" ref="P22" si="61">P20/P21</f>
        <v>-5.8216980907250093</v>
      </c>
      <c r="Q22" s="7">
        <f t="shared" ref="Q22" si="62">Q20/Q21</f>
        <v>3.0205577948943914</v>
      </c>
      <c r="R22" s="7">
        <f t="shared" ref="R22" si="63">R20/R21</f>
        <v>3.7114666657809797E-2</v>
      </c>
      <c r="S22" s="7">
        <f t="shared" ref="S22" si="64">S20/S21</f>
        <v>4.8882312007637596E-2</v>
      </c>
      <c r="T22" s="7">
        <f t="shared" ref="T22:Y22" si="65">T20/T21</f>
        <v>6.133260371356368E-2</v>
      </c>
      <c r="U22" s="7">
        <f t="shared" si="65"/>
        <v>7.4480102074493057E-2</v>
      </c>
      <c r="V22" s="7">
        <f t="shared" si="65"/>
        <v>8.8339698145146972E-2</v>
      </c>
      <c r="W22" s="7">
        <f t="shared" si="65"/>
        <v>0.10292662038497316</v>
      </c>
      <c r="X22" s="7">
        <f t="shared" si="65"/>
        <v>0.11825644144274795</v>
      </c>
      <c r="Y22" s="7">
        <f t="shared" si="65"/>
        <v>0.13434508507954504</v>
      </c>
    </row>
    <row r="23" spans="1:113" x14ac:dyDescent="0.2">
      <c r="AA23" s="4" t="s">
        <v>30</v>
      </c>
      <c r="AB23" s="8">
        <v>0.02</v>
      </c>
    </row>
    <row r="24" spans="1:113" s="6" customFormat="1" x14ac:dyDescent="0.2">
      <c r="A24" s="4"/>
      <c r="B24" s="6" t="s">
        <v>18</v>
      </c>
      <c r="G24" s="9">
        <f>G12/C12-1</f>
        <v>6.4624505928853759</v>
      </c>
      <c r="H24" s="9" t="e">
        <f t="shared" ref="H24:J24" si="66">H12/D12-1</f>
        <v>#DIV/0!</v>
      </c>
      <c r="I24" s="9" t="e">
        <f t="shared" si="66"/>
        <v>#DIV/0!</v>
      </c>
      <c r="J24" s="9" t="e">
        <f t="shared" si="66"/>
        <v>#DIV/0!</v>
      </c>
      <c r="K24" s="9"/>
      <c r="L24" s="9"/>
      <c r="M24" s="9">
        <f>M12/L12-1</f>
        <v>-0.4025875190258752</v>
      </c>
      <c r="N24" s="9">
        <f>N12/M12-1</f>
        <v>2.3554140127388532</v>
      </c>
      <c r="O24" s="9">
        <f>O12/N12-1</f>
        <v>-1</v>
      </c>
      <c r="P24" s="9" t="e">
        <f>P12/O12-1</f>
        <v>#DIV/0!</v>
      </c>
      <c r="Q24" s="9" t="e">
        <f>Q12/P12-1</f>
        <v>#DIV/0!</v>
      </c>
      <c r="R24" s="9">
        <f t="shared" ref="R24:S24" si="67">R12/Q12-1</f>
        <v>-0.67839015284056092</v>
      </c>
      <c r="S24" s="9">
        <f t="shared" si="67"/>
        <v>5.04E-2</v>
      </c>
      <c r="T24" s="9">
        <f t="shared" ref="T24" si="68">T12/S12-1</f>
        <v>5.0400000000000222E-2</v>
      </c>
      <c r="U24" s="9">
        <f t="shared" ref="U24" si="69">U12/T12-1</f>
        <v>5.04E-2</v>
      </c>
      <c r="V24" s="9">
        <f t="shared" ref="V24" si="70">V12/U12-1</f>
        <v>5.0400000000000444E-2</v>
      </c>
      <c r="W24" s="9">
        <f t="shared" ref="W24" si="71">W12/V12-1</f>
        <v>5.0399999999999778E-2</v>
      </c>
      <c r="X24" s="9">
        <f t="shared" ref="X24" si="72">X12/W12-1</f>
        <v>5.0400000000000222E-2</v>
      </c>
      <c r="Y24" s="9">
        <f t="shared" ref="Y24" si="73">Y12/X12-1</f>
        <v>5.04E-2</v>
      </c>
      <c r="AA24" s="4" t="s">
        <v>31</v>
      </c>
      <c r="AB24" s="8">
        <v>-0.01</v>
      </c>
    </row>
    <row r="25" spans="1:113" s="6" customFormat="1" x14ac:dyDescent="0.2">
      <c r="A25" s="4"/>
      <c r="B25" s="4" t="s">
        <v>35</v>
      </c>
      <c r="G25" s="10">
        <f t="shared" ref="G25" si="74">G19/G18</f>
        <v>2.4067388688327317E-3</v>
      </c>
      <c r="H25" s="10">
        <v>0</v>
      </c>
      <c r="I25" s="10">
        <v>0</v>
      </c>
      <c r="J25" s="10">
        <v>0</v>
      </c>
      <c r="K25" s="9"/>
      <c r="L25" s="10">
        <f>L19/L18</f>
        <v>-8.3200636942675141E-2</v>
      </c>
      <c r="M25" s="10">
        <f t="shared" ref="M25:O25" si="75">M19/M18</f>
        <v>-2.4813895781637717E-3</v>
      </c>
      <c r="N25" s="10">
        <f t="shared" si="75"/>
        <v>-3.070624360286591E-3</v>
      </c>
      <c r="O25" s="10">
        <f t="shared" si="75"/>
        <v>-4.4761213676235129E-4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AA25" s="4" t="s">
        <v>32</v>
      </c>
      <c r="AB25" s="8">
        <v>0.08</v>
      </c>
    </row>
    <row r="26" spans="1:113" x14ac:dyDescent="0.2">
      <c r="AA26" s="6" t="s">
        <v>33</v>
      </c>
      <c r="AB26" s="6">
        <f>NPV(AB25,P20:XFD20)+Main!K6-Main!K7</f>
        <v>718.23943755565028</v>
      </c>
    </row>
    <row r="27" spans="1:113" x14ac:dyDescent="0.2">
      <c r="B27" s="4" t="s">
        <v>28</v>
      </c>
      <c r="C27" s="10">
        <f>C16/C12</f>
        <v>-3.2924901185770747</v>
      </c>
      <c r="D27" s="10" t="e">
        <f t="shared" ref="D27:S27" si="76">D16/D12</f>
        <v>#DIV/0!</v>
      </c>
      <c r="E27" s="10" t="e">
        <f t="shared" si="76"/>
        <v>#DIV/0!</v>
      </c>
      <c r="F27" s="10" t="e">
        <f t="shared" si="76"/>
        <v>#DIV/0!</v>
      </c>
      <c r="G27" s="10">
        <f t="shared" si="76"/>
        <v>0.37817796610169491</v>
      </c>
      <c r="H27" s="10">
        <f t="shared" si="76"/>
        <v>-3.6960000000000002</v>
      </c>
      <c r="I27" s="10">
        <f t="shared" si="76"/>
        <v>-3.6495049504950496</v>
      </c>
      <c r="J27" s="10">
        <f t="shared" si="76"/>
        <v>-3.6034702480149008</v>
      </c>
      <c r="K27" s="10"/>
      <c r="L27" s="10">
        <f t="shared" si="76"/>
        <v>-2.0030441400304415</v>
      </c>
      <c r="M27" s="10">
        <f t="shared" si="76"/>
        <v>-5.1146496815286628</v>
      </c>
      <c r="N27" s="10">
        <f t="shared" si="76"/>
        <v>-0.94988610478359936</v>
      </c>
      <c r="O27" s="10" t="e">
        <f t="shared" si="76"/>
        <v>#DIV/0!</v>
      </c>
      <c r="P27" s="10" t="e">
        <f t="shared" si="76"/>
        <v>#DIV/0!</v>
      </c>
      <c r="Q27" s="10">
        <f t="shared" si="76"/>
        <v>0.68061384890009857</v>
      </c>
      <c r="R27" s="10">
        <f t="shared" si="76"/>
        <v>-3.2809163269268249E-2</v>
      </c>
      <c r="S27" s="10">
        <f t="shared" si="76"/>
        <v>-2.2583329969572626E-2</v>
      </c>
      <c r="T27" s="10">
        <f t="shared" ref="T27:Y27" si="77">T16/T12</f>
        <v>-1.2458742544131145E-2</v>
      </c>
      <c r="U27" s="10">
        <f t="shared" si="77"/>
        <v>-2.4343985585458107E-3</v>
      </c>
      <c r="V27" s="10">
        <f t="shared" si="77"/>
        <v>7.4906944964896307E-3</v>
      </c>
      <c r="W27" s="10">
        <f t="shared" si="77"/>
        <v>1.7317519303454855E-2</v>
      </c>
      <c r="X27" s="10">
        <f t="shared" si="77"/>
        <v>2.7047048815302042E-2</v>
      </c>
      <c r="Y27" s="10">
        <f t="shared" si="77"/>
        <v>3.6680246351784102E-2</v>
      </c>
      <c r="AA27" s="4" t="s">
        <v>0</v>
      </c>
      <c r="AB27" s="7">
        <f>AB26/Main!K4</f>
        <v>9.840056992415823</v>
      </c>
    </row>
    <row r="28" spans="1:113" x14ac:dyDescent="0.2">
      <c r="AA28" s="4" t="s">
        <v>34</v>
      </c>
      <c r="AB28" s="10">
        <f>AB27/Main!K3-1</f>
        <v>0.3120075989887765</v>
      </c>
    </row>
    <row r="29" spans="1:113" x14ac:dyDescent="0.2">
      <c r="B29" s="4" t="s">
        <v>29</v>
      </c>
      <c r="G29" s="4">
        <f>G31-G33</f>
        <v>827.3</v>
      </c>
      <c r="H29" s="4">
        <f>G29+H20</f>
        <v>739.03649999999993</v>
      </c>
      <c r="I29" s="4">
        <f t="shared" ref="I29:J29" si="78">H29+I20</f>
        <v>650.58168249999994</v>
      </c>
      <c r="J29" s="4">
        <f t="shared" si="78"/>
        <v>561.93709091249991</v>
      </c>
      <c r="L29" s="4">
        <f>L31-L33</f>
        <v>0</v>
      </c>
      <c r="M29" s="4">
        <f>M31-M33</f>
        <v>0</v>
      </c>
      <c r="N29" s="4">
        <f>N31-N33</f>
        <v>739.50000000000011</v>
      </c>
      <c r="O29" s="4">
        <f>J29</f>
        <v>561.93709091249991</v>
      </c>
      <c r="P29" s="4">
        <f>O29+P20</f>
        <v>99.319832730749908</v>
      </c>
      <c r="Q29" s="4">
        <f>P29+Q20</f>
        <v>346.54718938536485</v>
      </c>
      <c r="R29" s="4">
        <f>Q29+R20</f>
        <v>349.67609285307213</v>
      </c>
      <c r="S29" s="4">
        <f>R29+S20</f>
        <v>353.92068106584554</v>
      </c>
      <c r="T29" s="4">
        <f t="shared" ref="T29" si="79">S29+T20</f>
        <v>359.40613347535594</v>
      </c>
      <c r="U29" s="4">
        <f t="shared" ref="U29" si="80">T29+U20</f>
        <v>366.26730912366122</v>
      </c>
      <c r="V29" s="4">
        <f t="shared" ref="V29" si="81">U29+V20</f>
        <v>374.64938156817101</v>
      </c>
      <c r="W29" s="4">
        <f t="shared" ref="W29" si="82">V29+W20</f>
        <v>384.70851193480883</v>
      </c>
      <c r="X29" s="4">
        <f t="shared" ref="X29" si="83">W29+X20</f>
        <v>396.61256227105372</v>
      </c>
      <c r="Y29" s="4">
        <f t="shared" ref="Y29" si="84">X29+Y20</f>
        <v>410.54185149009305</v>
      </c>
    </row>
    <row r="31" spans="1:113" x14ac:dyDescent="0.2">
      <c r="B31" s="4" t="s">
        <v>3</v>
      </c>
      <c r="G31" s="4">
        <f>81+873.3</f>
        <v>954.3</v>
      </c>
      <c r="N31" s="4">
        <f>100.5+938.9</f>
        <v>1039.4000000000001</v>
      </c>
      <c r="O31" s="4">
        <f>J31</f>
        <v>0</v>
      </c>
    </row>
    <row r="33" spans="2:15" x14ac:dyDescent="0.2">
      <c r="B33" s="4" t="s">
        <v>4</v>
      </c>
      <c r="G33" s="4">
        <f>118.4+0.5+8.1</f>
        <v>127</v>
      </c>
      <c r="N33" s="4">
        <f>0.6+7.3+292</f>
        <v>299.89999999999998</v>
      </c>
      <c r="O33" s="4">
        <f>J33</f>
        <v>0</v>
      </c>
    </row>
  </sheetData>
  <hyperlinks>
    <hyperlink ref="A1" location="Main!A1" display="Main" xr:uid="{308EFB35-45A3-4C50-9F96-5B69C2FC5B07}"/>
  </hyperlink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E4260-003E-46D4-BF24-006BB4F4AA4C}">
  <dimension ref="A1:C19"/>
  <sheetViews>
    <sheetView workbookViewId="0">
      <selection activeCell="F18" sqref="F18"/>
    </sheetView>
  </sheetViews>
  <sheetFormatPr defaultRowHeight="14.25" x14ac:dyDescent="0.2"/>
  <cols>
    <col min="1" max="1" width="4.375" customWidth="1"/>
    <col min="2" max="2" width="12.25" customWidth="1"/>
    <col min="3" max="3" width="15.5" customWidth="1"/>
  </cols>
  <sheetData>
    <row r="1" spans="1:3" x14ac:dyDescent="0.2">
      <c r="A1" s="1" t="s">
        <v>7</v>
      </c>
    </row>
    <row r="2" spans="1:3" x14ac:dyDescent="0.2">
      <c r="B2" t="s">
        <v>41</v>
      </c>
      <c r="C2" t="s">
        <v>46</v>
      </c>
    </row>
    <row r="3" spans="1:3" x14ac:dyDescent="0.2">
      <c r="B3" t="s">
        <v>42</v>
      </c>
      <c r="C3" t="s">
        <v>51</v>
      </c>
    </row>
    <row r="4" spans="1:3" x14ac:dyDescent="0.2">
      <c r="B4" t="s">
        <v>39</v>
      </c>
      <c r="C4" t="s">
        <v>49</v>
      </c>
    </row>
    <row r="5" spans="1:3" x14ac:dyDescent="0.2">
      <c r="B5" t="s">
        <v>44</v>
      </c>
      <c r="C5" t="s">
        <v>56</v>
      </c>
    </row>
    <row r="6" spans="1:3" x14ac:dyDescent="0.2">
      <c r="B6" t="s">
        <v>104</v>
      </c>
      <c r="C6" t="s">
        <v>71</v>
      </c>
    </row>
    <row r="7" spans="1:3" x14ac:dyDescent="0.2">
      <c r="B7" t="s">
        <v>54</v>
      </c>
    </row>
    <row r="8" spans="1:3" ht="15" x14ac:dyDescent="0.25">
      <c r="C8" s="2" t="s">
        <v>78</v>
      </c>
    </row>
    <row r="9" spans="1:3" x14ac:dyDescent="0.2">
      <c r="C9" t="s">
        <v>80</v>
      </c>
    </row>
    <row r="10" spans="1:3" x14ac:dyDescent="0.2">
      <c r="C10" t="s">
        <v>81</v>
      </c>
    </row>
    <row r="13" spans="1:3" ht="15" x14ac:dyDescent="0.25">
      <c r="C13" s="2" t="s">
        <v>84</v>
      </c>
    </row>
    <row r="14" spans="1:3" x14ac:dyDescent="0.2">
      <c r="C14" t="s">
        <v>82</v>
      </c>
    </row>
    <row r="15" spans="1:3" x14ac:dyDescent="0.2">
      <c r="C15" t="s">
        <v>83</v>
      </c>
    </row>
    <row r="18" spans="3:3" ht="15" x14ac:dyDescent="0.25">
      <c r="C18" s="2" t="s">
        <v>77</v>
      </c>
    </row>
    <row r="19" spans="3:3" ht="15" x14ac:dyDescent="0.25">
      <c r="C19" s="2"/>
    </row>
  </sheetData>
  <hyperlinks>
    <hyperlink ref="A1" location="Main!A1" display="Main" xr:uid="{4732B98F-D6A4-44CF-A013-F0CE37DCCC12}"/>
  </hyperlink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F830E-6BA7-46F9-ADF6-E5799868FC38}">
  <dimension ref="A1:C47"/>
  <sheetViews>
    <sheetView workbookViewId="0">
      <selection activeCell="C7" sqref="C7"/>
    </sheetView>
  </sheetViews>
  <sheetFormatPr defaultRowHeight="14.25" x14ac:dyDescent="0.2"/>
  <cols>
    <col min="1" max="1" width="4.5" customWidth="1"/>
    <col min="2" max="2" width="12" customWidth="1"/>
    <col min="3" max="3" width="14.375" customWidth="1"/>
  </cols>
  <sheetData>
    <row r="1" spans="1:3" x14ac:dyDescent="0.2">
      <c r="A1" s="1" t="s">
        <v>7</v>
      </c>
    </row>
    <row r="2" spans="1:3" x14ac:dyDescent="0.2">
      <c r="B2" t="s">
        <v>41</v>
      </c>
      <c r="C2" t="s">
        <v>38</v>
      </c>
    </row>
    <row r="3" spans="1:3" x14ac:dyDescent="0.2">
      <c r="B3" t="s">
        <v>42</v>
      </c>
      <c r="C3" t="s">
        <v>50</v>
      </c>
    </row>
    <row r="4" spans="1:3" x14ac:dyDescent="0.2">
      <c r="B4" t="s">
        <v>39</v>
      </c>
      <c r="C4" t="s">
        <v>57</v>
      </c>
    </row>
    <row r="5" spans="1:3" x14ac:dyDescent="0.2">
      <c r="B5" t="s">
        <v>44</v>
      </c>
      <c r="C5" t="s">
        <v>55</v>
      </c>
    </row>
    <row r="6" spans="1:3" x14ac:dyDescent="0.2">
      <c r="B6" t="s">
        <v>104</v>
      </c>
      <c r="C6" t="s">
        <v>102</v>
      </c>
    </row>
    <row r="7" spans="1:3" x14ac:dyDescent="0.2">
      <c r="B7" t="s">
        <v>54</v>
      </c>
    </row>
    <row r="47" spans="2:2" x14ac:dyDescent="0.2">
      <c r="B47">
        <f>B48</f>
        <v>0</v>
      </c>
    </row>
  </sheetData>
  <hyperlinks>
    <hyperlink ref="A1" location="Main!A1" display="Main" xr:uid="{BA2B2E93-3FF3-4A4C-AD10-D1EF6993105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52D59-A024-4A14-8BD0-C2F8781A1295}">
  <dimension ref="A1:C12"/>
  <sheetViews>
    <sheetView workbookViewId="0">
      <selection activeCell="C13" sqref="C13"/>
    </sheetView>
  </sheetViews>
  <sheetFormatPr defaultRowHeight="14.25" x14ac:dyDescent="0.2"/>
  <cols>
    <col min="1" max="1" width="4.375" customWidth="1"/>
    <col min="2" max="2" width="11.875" customWidth="1"/>
    <col min="3" max="3" width="19.625" customWidth="1"/>
  </cols>
  <sheetData>
    <row r="1" spans="1:3" x14ac:dyDescent="0.2">
      <c r="A1" t="s">
        <v>7</v>
      </c>
    </row>
    <row r="2" spans="1:3" x14ac:dyDescent="0.2">
      <c r="B2" t="s">
        <v>41</v>
      </c>
      <c r="C2" t="s">
        <v>36</v>
      </c>
    </row>
    <row r="3" spans="1:3" x14ac:dyDescent="0.2">
      <c r="B3" t="s">
        <v>42</v>
      </c>
    </row>
    <row r="4" spans="1:3" x14ac:dyDescent="0.2">
      <c r="B4" t="s">
        <v>39</v>
      </c>
      <c r="C4" t="s">
        <v>58</v>
      </c>
    </row>
    <row r="5" spans="1:3" x14ac:dyDescent="0.2">
      <c r="B5" t="s">
        <v>44</v>
      </c>
    </row>
    <row r="6" spans="1:3" x14ac:dyDescent="0.2">
      <c r="B6" t="s">
        <v>54</v>
      </c>
    </row>
    <row r="7" spans="1:3" ht="15" x14ac:dyDescent="0.25">
      <c r="C7" s="2" t="s">
        <v>79</v>
      </c>
    </row>
    <row r="8" spans="1:3" x14ac:dyDescent="0.2">
      <c r="C8" t="s">
        <v>85</v>
      </c>
    </row>
    <row r="9" spans="1:3" x14ac:dyDescent="0.2">
      <c r="C9" t="s">
        <v>86</v>
      </c>
    </row>
    <row r="10" spans="1:3" x14ac:dyDescent="0.2">
      <c r="C10" t="s">
        <v>87</v>
      </c>
    </row>
    <row r="12" spans="1:3" ht="15" x14ac:dyDescent="0.25">
      <c r="C12" s="2" t="s">
        <v>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8E331-C944-4358-9151-F1D7231AD769}">
  <dimension ref="A1:C12"/>
  <sheetViews>
    <sheetView workbookViewId="0">
      <selection activeCell="C13" sqref="C13"/>
    </sheetView>
  </sheetViews>
  <sheetFormatPr defaultRowHeight="14.25" x14ac:dyDescent="0.2"/>
  <cols>
    <col min="1" max="1" width="4.625" customWidth="1"/>
    <col min="2" max="2" width="11.875" customWidth="1"/>
    <col min="3" max="3" width="10.25" customWidth="1"/>
  </cols>
  <sheetData>
    <row r="1" spans="1:3" x14ac:dyDescent="0.2">
      <c r="A1" t="s">
        <v>7</v>
      </c>
    </row>
    <row r="2" spans="1:3" x14ac:dyDescent="0.2">
      <c r="B2" t="s">
        <v>41</v>
      </c>
      <c r="C2" t="s">
        <v>20</v>
      </c>
    </row>
    <row r="3" spans="1:3" x14ac:dyDescent="0.2">
      <c r="B3" t="s">
        <v>42</v>
      </c>
    </row>
    <row r="4" spans="1:3" x14ac:dyDescent="0.2">
      <c r="B4" t="s">
        <v>39</v>
      </c>
      <c r="C4" t="s">
        <v>67</v>
      </c>
    </row>
    <row r="5" spans="1:3" x14ac:dyDescent="0.2">
      <c r="B5" t="s">
        <v>44</v>
      </c>
    </row>
    <row r="6" spans="1:3" x14ac:dyDescent="0.2">
      <c r="B6" t="s">
        <v>54</v>
      </c>
    </row>
    <row r="7" spans="1:3" ht="15" x14ac:dyDescent="0.25">
      <c r="C7" s="2" t="s">
        <v>77</v>
      </c>
    </row>
    <row r="8" spans="1:3" x14ac:dyDescent="0.2">
      <c r="C8" t="s">
        <v>88</v>
      </c>
    </row>
    <row r="9" spans="1:3" x14ac:dyDescent="0.2">
      <c r="C9" t="s">
        <v>89</v>
      </c>
    </row>
    <row r="11" spans="1:3" ht="15" x14ac:dyDescent="0.25">
      <c r="C11" s="2" t="s">
        <v>90</v>
      </c>
    </row>
    <row r="12" spans="1:3" x14ac:dyDescent="0.2">
      <c r="C12" t="s"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D838B-0A91-4AEF-B447-927584A4B6F5}">
  <dimension ref="A1:C11"/>
  <sheetViews>
    <sheetView workbookViewId="0">
      <selection activeCell="C11" sqref="C11"/>
    </sheetView>
  </sheetViews>
  <sheetFormatPr defaultRowHeight="14.25" x14ac:dyDescent="0.2"/>
  <cols>
    <col min="1" max="1" width="4.25" customWidth="1"/>
    <col min="2" max="2" width="11.875" customWidth="1"/>
    <col min="3" max="3" width="22.5" customWidth="1"/>
  </cols>
  <sheetData>
    <row r="1" spans="1:3" x14ac:dyDescent="0.2">
      <c r="A1" t="s">
        <v>7</v>
      </c>
    </row>
    <row r="2" spans="1:3" x14ac:dyDescent="0.2">
      <c r="B2" t="s">
        <v>41</v>
      </c>
      <c r="C2" t="s">
        <v>37</v>
      </c>
    </row>
    <row r="3" spans="1:3" x14ac:dyDescent="0.2">
      <c r="B3" t="s">
        <v>42</v>
      </c>
    </row>
    <row r="4" spans="1:3" x14ac:dyDescent="0.2">
      <c r="B4" t="s">
        <v>39</v>
      </c>
      <c r="C4" t="s">
        <v>68</v>
      </c>
    </row>
    <row r="5" spans="1:3" x14ac:dyDescent="0.2">
      <c r="B5" t="s">
        <v>44</v>
      </c>
    </row>
    <row r="6" spans="1:3" x14ac:dyDescent="0.2">
      <c r="B6" t="s">
        <v>54</v>
      </c>
    </row>
    <row r="7" spans="1:3" ht="15" x14ac:dyDescent="0.25">
      <c r="C7" s="2" t="s">
        <v>77</v>
      </c>
    </row>
    <row r="8" spans="1:3" x14ac:dyDescent="0.2">
      <c r="C8" t="s">
        <v>92</v>
      </c>
    </row>
    <row r="11" spans="1:3" ht="15" x14ac:dyDescent="0.25">
      <c r="C11" s="2" t="s">
        <v>79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Model</vt:lpstr>
      <vt:lpstr>vepdegestrant</vt:lpstr>
      <vt:lpstr>luxdegalutamide</vt:lpstr>
      <vt:lpstr>ARV-102</vt:lpstr>
      <vt:lpstr>ARV-393</vt:lpstr>
      <vt:lpstr>ARV-806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2025-05-30T03:24:24Z</dcterms:created>
  <dcterms:modified xsi:type="dcterms:W3CDTF">2025-06-16T01:50:52Z</dcterms:modified>
</cp:coreProperties>
</file>