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A4CA63C-30DC-4E80-A5F9-C0803253F765}" xr6:coauthVersionLast="47" xr6:coauthVersionMax="47" xr10:uidLastSave="{00000000-0000-0000-0000-000000000000}"/>
  <bookViews>
    <workbookView xWindow="1695" yWindow="375" windowWidth="22125" windowHeight="14250" activeTab="1" xr2:uid="{23A73D2F-BF64-4B2C-9A6B-330C60ED7DB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N4" i="2"/>
  <c r="O4" i="2"/>
  <c r="P4" i="2" s="1"/>
  <c r="L4" i="2"/>
  <c r="M23" i="2"/>
  <c r="N23" i="2"/>
  <c r="O23" i="2"/>
  <c r="P23" i="2" s="1"/>
  <c r="L23" i="2"/>
  <c r="L25" i="2"/>
  <c r="M25" i="2"/>
  <c r="N25" i="2"/>
  <c r="O25" i="2"/>
  <c r="P25" i="2" s="1"/>
  <c r="L19" i="2"/>
  <c r="M19" i="2" s="1"/>
  <c r="N19" i="2" s="1"/>
  <c r="O19" i="2" s="1"/>
  <c r="P19" i="2" s="1"/>
  <c r="K29" i="2"/>
  <c r="K28" i="2"/>
  <c r="K27" i="2" s="1"/>
  <c r="L14" i="2" s="1"/>
  <c r="M7" i="1"/>
  <c r="M6" i="1"/>
  <c r="L15" i="2"/>
  <c r="M15" i="2" s="1"/>
  <c r="N15" i="2" s="1"/>
  <c r="O15" i="2" s="1"/>
  <c r="P15" i="2" s="1"/>
  <c r="K22" i="2"/>
  <c r="M4" i="1"/>
  <c r="K14" i="2"/>
  <c r="K6" i="2"/>
  <c r="K23" i="2" s="1"/>
  <c r="K12" i="2"/>
  <c r="M5" i="1"/>
  <c r="M8" i="1" s="1"/>
  <c r="J1" i="2"/>
  <c r="K1" i="2" s="1"/>
  <c r="L1" i="2" s="1"/>
  <c r="M1" i="2" s="1"/>
  <c r="N1" i="2" s="1"/>
  <c r="O1" i="2" s="1"/>
  <c r="P1" i="2" s="1"/>
  <c r="K13" i="2" l="1"/>
  <c r="K16" i="2"/>
  <c r="K25" i="2"/>
  <c r="L22" i="2"/>
  <c r="L5" i="2"/>
  <c r="L6" i="2" s="1"/>
  <c r="M22" i="2"/>
  <c r="K18" i="2"/>
  <c r="K20" i="2" s="1"/>
  <c r="K24" i="2"/>
  <c r="N5" i="2" l="1"/>
  <c r="N6" i="2" s="1"/>
  <c r="M5" i="2"/>
  <c r="M6" i="2" s="1"/>
  <c r="N22" i="2"/>
  <c r="L12" i="2"/>
  <c r="L13" i="2" s="1"/>
  <c r="L16" i="2" l="1"/>
  <c r="L24" i="2"/>
  <c r="M12" i="2"/>
  <c r="M13" i="2" s="1"/>
  <c r="M24" i="2" s="1"/>
  <c r="O22" i="2"/>
  <c r="O5" i="2"/>
  <c r="O6" i="2" s="1"/>
  <c r="L17" i="2" l="1"/>
  <c r="L18" i="2" s="1"/>
  <c r="P5" i="2"/>
  <c r="P6" i="2" s="1"/>
  <c r="P22" i="2"/>
  <c r="N12" i="2"/>
  <c r="N13" i="2" s="1"/>
  <c r="N24" i="2" s="1"/>
  <c r="L27" i="2" l="1"/>
  <c r="M14" i="2" s="1"/>
  <c r="M16" i="2" s="1"/>
  <c r="L20" i="2"/>
  <c r="P12" i="2"/>
  <c r="P13" i="2" s="1"/>
  <c r="P24" i="2" s="1"/>
  <c r="O12" i="2"/>
  <c r="O13" i="2" s="1"/>
  <c r="O24" i="2" s="1"/>
  <c r="M17" i="2" l="1"/>
  <c r="M18" i="2" s="1"/>
  <c r="M27" i="2" l="1"/>
  <c r="N14" i="2" s="1"/>
  <c r="N16" i="2" s="1"/>
  <c r="N17" i="2" s="1"/>
  <c r="N18" i="2" s="1"/>
  <c r="N20" i="2" s="1"/>
  <c r="M20" i="2"/>
  <c r="N27" i="2" l="1"/>
  <c r="O14" i="2" s="1"/>
  <c r="O16" i="2" s="1"/>
  <c r="O17" i="2" s="1"/>
  <c r="O18" i="2" s="1"/>
  <c r="O27" i="2" l="1"/>
  <c r="O20" i="2"/>
  <c r="P14" i="2" l="1"/>
  <c r="P16" i="2" s="1"/>
  <c r="P17" i="2" l="1"/>
  <c r="P18" i="2" s="1"/>
  <c r="P20" i="2" l="1"/>
  <c r="Q18" i="2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P27" i="2"/>
  <c r="S23" i="2" l="1"/>
  <c r="S24" i="2" s="1"/>
  <c r="S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tc={4391175B-2EA0-468A-9084-56CE6683FEAF}</author>
  </authors>
  <commentList>
    <comment ref="G2" authorId="0" shapeId="0" xr:uid="{4391175B-2EA0-468A-9084-56CE6683FEAF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“due to sale of Sun Art”</t>
      </text>
    </comment>
  </commentList>
</comments>
</file>

<file path=xl/sharedStrings.xml><?xml version="1.0" encoding="utf-8"?>
<sst xmlns="http://schemas.openxmlformats.org/spreadsheetml/2006/main" count="49" uniqueCount="43">
  <si>
    <t>Price</t>
  </si>
  <si>
    <t>Shares</t>
  </si>
  <si>
    <t>MC</t>
  </si>
  <si>
    <t>Cash</t>
  </si>
  <si>
    <t>Debt</t>
  </si>
  <si>
    <t>EV</t>
  </si>
  <si>
    <t>Main</t>
  </si>
  <si>
    <t>Revenue</t>
  </si>
  <si>
    <t>Q125</t>
  </si>
  <si>
    <t>Employees</t>
  </si>
  <si>
    <t>Q124</t>
  </si>
  <si>
    <t>Q224</t>
  </si>
  <si>
    <t>Q324</t>
  </si>
  <si>
    <t>Q424</t>
  </si>
  <si>
    <t>COGS</t>
  </si>
  <si>
    <t>R&amp;D</t>
  </si>
  <si>
    <t>S&amp;M</t>
  </si>
  <si>
    <t>G&amp;A</t>
  </si>
  <si>
    <t>Amort</t>
  </si>
  <si>
    <t>Other</t>
  </si>
  <si>
    <t>Pretax Income</t>
  </si>
  <si>
    <t>Operating Expenses</t>
  </si>
  <si>
    <t>Operating Income</t>
  </si>
  <si>
    <t>Tax</t>
  </si>
  <si>
    <t>Net Income</t>
  </si>
  <si>
    <t>EPS</t>
  </si>
  <si>
    <t>Revenue y/y</t>
  </si>
  <si>
    <t>Gross Margin</t>
  </si>
  <si>
    <t>Operating Margin</t>
  </si>
  <si>
    <t>OPEX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</si>
  <si>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</si>
  <si>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</si>
  <si>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</si>
  <si>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</si>
  <si>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</si>
  <si>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</si>
  <si>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</si>
  <si>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</si>
  <si>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Gross Profit</t>
  </si>
  <si>
    <t>Interest Income</t>
  </si>
  <si>
    <t>Other Income</t>
  </si>
  <si>
    <t>8:1 ADR Ratio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</si>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</sst>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3" fillId="0" borderId="0" xfId="0" applyNumberFormat="1" applyFont="1"/>
    <xf numFmtId="9" fontId="1" fillId="0" borderId="0" xfId="0" applyNumberFormat="1" applyFont="1"/>
    <xf numFmtId="38" fontId="3" fillId="0" borderId="0" xfId="0" applyNumberFormat="1" applyFont="1"/>
    <xf numFmtId="0" fontId="3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0</xdr:row>
      <xdr:rowOff>0</xdr:rowOff>
    </xdr:from>
    <xdr:to>
      <xdr:col>11</xdr:col>
      <xdr:colOff>0</xdr:colOff>
      <xdr:row>53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CD6A1B4-A616-15D2-A1F7-DC69FD9BF2B1}"/>
            </a:ext>
          </a:extLst>
        </xdr:cNvPr>
        <xdr:cNvCxnSpPr/>
      </xdr:nvCxnSpPr>
      <xdr:spPr>
        <a:xfrm flipH="1">
          <a:off x="7848600" y="0"/>
          <a:ext cx="9525" cy="987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9525</xdr:colOff>
      <xdr:row>53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6313EE-40CD-43D1-9B39-ED915E871B68}"/>
            </a:ext>
          </a:extLst>
        </xdr:cNvPr>
        <xdr:cNvCxnSpPr/>
      </xdr:nvCxnSpPr>
      <xdr:spPr>
        <a:xfrm flipH="1">
          <a:off x="5114925" y="0"/>
          <a:ext cx="9525" cy="987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B189F785-B9A2-429A-9544-138F2B51486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5-05-24T00:49:08.02" personId="{B189F785-B9A2-429A-9544-138F2B514862}" id="{4391175B-2EA0-468A-9084-56CE6683FEAF}">
    <text>“due to sale of Sun Art”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699E-D507-4BE7-B873-888DB36189B3}">
  <dimension ref="A1:N8"/>
  <sheetViews>
    <sheetView zoomScale="115" zoomScaleNormal="115" workbookViewId="0">
      <selection activeCell="M3" sqref="M3"/>
    </sheetView>
  </sheetViews>
  <sheetFormatPr defaultRowHeight="12.75" x14ac:dyDescent="0.2"/>
  <cols>
    <col min="1" max="16384" width="9" style="11"/>
  </cols>
  <sheetData>
    <row r="1" spans="1:14" x14ac:dyDescent="0.2">
      <c r="A1" s="10"/>
    </row>
    <row r="2" spans="1:14" x14ac:dyDescent="0.2">
      <c r="L2" s="11" t="s">
        <v>41</v>
      </c>
    </row>
    <row r="3" spans="1:14" x14ac:dyDescent="0.2">
      <c r="L3" s="11" t="s">
        <v>0</v>
      </c>
      <c r="M3" s="5">
        <v>120</v>
      </c>
    </row>
    <row r="4" spans="1:14" x14ac:dyDescent="0.2">
      <c r="L4" s="11" t="s">
        <v>1</v>
      </c>
      <c r="M4" s="2">
        <f>19318/8</f>
        <v>2414.75</v>
      </c>
      <c r="N4" s="11" t="s">
        <v>8</v>
      </c>
    </row>
    <row r="5" spans="1:14" x14ac:dyDescent="0.2">
      <c r="L5" s="11" t="s">
        <v>2</v>
      </c>
      <c r="M5" s="2">
        <f>M4*M3</f>
        <v>289770</v>
      </c>
    </row>
    <row r="6" spans="1:14" x14ac:dyDescent="0.2">
      <c r="L6" s="11" t="s">
        <v>3</v>
      </c>
      <c r="M6" s="2">
        <f>20.1+31.53+7.4+27.86+6.03</f>
        <v>92.92</v>
      </c>
      <c r="N6" s="11" t="s">
        <v>8</v>
      </c>
    </row>
    <row r="7" spans="1:14" x14ac:dyDescent="0.2">
      <c r="L7" s="11" t="s">
        <v>4</v>
      </c>
      <c r="M7" s="2">
        <f>6.7+6.9+16.9+4.9+2.4</f>
        <v>37.799999999999997</v>
      </c>
      <c r="N7" s="11" t="s">
        <v>8</v>
      </c>
    </row>
    <row r="8" spans="1:14" x14ac:dyDescent="0.2">
      <c r="L8" s="11" t="s">
        <v>5</v>
      </c>
      <c r="M8" s="2">
        <f>M5+M6-M7</f>
        <v>289825.12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1115-5B04-4E2D-8D07-DB8D1E8FDB42}">
  <dimension ref="A1:DJ33"/>
  <sheetViews>
    <sheetView tabSelected="1" zoomScale="130" zoomScaleNormal="13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O16" sqref="O16"/>
    </sheetView>
  </sheetViews>
  <sheetFormatPr defaultRowHeight="12.75" x14ac:dyDescent="0.2"/>
  <cols>
    <col min="1" max="1" width="4.25" style="2" customWidth="1"/>
    <col min="2" max="2" width="17.875" style="2" customWidth="1"/>
    <col min="3" max="16384" width="9" style="2"/>
  </cols>
  <sheetData>
    <row r="1" spans="1:16" x14ac:dyDescent="0.2">
      <c r="A1" s="1" t="s">
        <v>6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8</v>
      </c>
      <c r="I1" s="3">
        <v>2022</v>
      </c>
      <c r="J1" s="3">
        <f>I1+1</f>
        <v>2023</v>
      </c>
      <c r="K1" s="3">
        <f t="shared" ref="K1:P1" si="0">J1+1</f>
        <v>2024</v>
      </c>
      <c r="L1" s="3">
        <f t="shared" si="0"/>
        <v>2025</v>
      </c>
      <c r="M1" s="3">
        <f t="shared" si="0"/>
        <v>2026</v>
      </c>
      <c r="N1" s="3">
        <f t="shared" si="0"/>
        <v>2027</v>
      </c>
      <c r="O1" s="3">
        <f t="shared" si="0"/>
        <v>2028</v>
      </c>
      <c r="P1" s="3">
        <f t="shared" si="0"/>
        <v>2029</v>
      </c>
    </row>
    <row r="2" spans="1:16" x14ac:dyDescent="0.2">
      <c r="A2" s="1"/>
      <c r="B2" s="2" t="s">
        <v>9</v>
      </c>
      <c r="C2" s="2">
        <v>204891</v>
      </c>
      <c r="G2" s="2">
        <v>124320</v>
      </c>
    </row>
    <row r="3" spans="1:16" x14ac:dyDescent="0.2">
      <c r="A3" s="1"/>
    </row>
    <row r="4" spans="1:16" s="4" customFormat="1" x14ac:dyDescent="0.2">
      <c r="A4" s="2"/>
      <c r="B4" s="4" t="s">
        <v>7</v>
      </c>
      <c r="K4" s="4">
        <v>137300</v>
      </c>
      <c r="L4" s="4">
        <f>K4*1.06</f>
        <v>145538</v>
      </c>
      <c r="M4" s="4">
        <f t="shared" ref="M4:P4" si="1">L4*1.06</f>
        <v>154270.28</v>
      </c>
      <c r="N4" s="4">
        <f t="shared" si="1"/>
        <v>163526.49679999999</v>
      </c>
      <c r="O4" s="4">
        <f t="shared" si="1"/>
        <v>173338.08660800001</v>
      </c>
      <c r="P4" s="4">
        <f t="shared" si="1"/>
        <v>183738.37180448003</v>
      </c>
    </row>
    <row r="5" spans="1:16" x14ac:dyDescent="0.2">
      <c r="B5" s="2" t="s">
        <v>14</v>
      </c>
      <c r="K5" s="2">
        <v>82446</v>
      </c>
      <c r="L5" s="2">
        <f>L4*(1-L23)</f>
        <v>87102.033800000019</v>
      </c>
      <c r="M5" s="2">
        <f>M4*(1-M23)</f>
        <v>92018.445207140001</v>
      </c>
      <c r="N5" s="2">
        <f>N4*(1-N23)</f>
        <v>97209.617195166269</v>
      </c>
      <c r="O5" s="2">
        <f>O4*(1-O23)</f>
        <v>102690.71476497063</v>
      </c>
      <c r="P5" s="2">
        <f>P4*(1-P23)</f>
        <v>108477.72658010085</v>
      </c>
    </row>
    <row r="6" spans="1:16" x14ac:dyDescent="0.2">
      <c r="B6" s="2" t="s">
        <v>38</v>
      </c>
      <c r="K6" s="2">
        <f>K4-K5</f>
        <v>54854</v>
      </c>
      <c r="L6" s="2">
        <f t="shared" ref="L6:P6" si="2">L4-L5</f>
        <v>58435.966199999981</v>
      </c>
      <c r="M6" s="2">
        <f t="shared" si="2"/>
        <v>62251.834792859998</v>
      </c>
      <c r="N6" s="2">
        <f t="shared" si="2"/>
        <v>66316.879604833724</v>
      </c>
      <c r="O6" s="2">
        <f t="shared" si="2"/>
        <v>70647.371843029381</v>
      </c>
      <c r="P6" s="2">
        <f t="shared" si="2"/>
        <v>75260.645224379186</v>
      </c>
    </row>
    <row r="7" spans="1:16" x14ac:dyDescent="0.2">
      <c r="B7" s="2" t="s">
        <v>15</v>
      </c>
      <c r="K7" s="2">
        <v>7876</v>
      </c>
    </row>
    <row r="8" spans="1:16" x14ac:dyDescent="0.2">
      <c r="B8" s="2" t="s">
        <v>16</v>
      </c>
      <c r="K8" s="2">
        <v>19847</v>
      </c>
    </row>
    <row r="9" spans="1:16" x14ac:dyDescent="0.2">
      <c r="B9" s="2" t="s">
        <v>17</v>
      </c>
      <c r="K9" s="2">
        <v>6096</v>
      </c>
    </row>
    <row r="10" spans="1:16" x14ac:dyDescent="0.2">
      <c r="B10" s="2" t="s">
        <v>18</v>
      </c>
      <c r="K10" s="2">
        <v>873</v>
      </c>
    </row>
    <row r="11" spans="1:16" x14ac:dyDescent="0.2">
      <c r="B11" s="2" t="s">
        <v>19</v>
      </c>
      <c r="K11" s="2">
        <v>105</v>
      </c>
    </row>
    <row r="12" spans="1:16" x14ac:dyDescent="0.2">
      <c r="B12" s="2" t="s">
        <v>21</v>
      </c>
      <c r="K12" s="2">
        <f>SUM(K7:K11)</f>
        <v>34797</v>
      </c>
      <c r="L12" s="2">
        <f>L4*L25</f>
        <v>36515.971799999992</v>
      </c>
      <c r="M12" s="2">
        <f>M4*M25</f>
        <v>38319.860806919991</v>
      </c>
      <c r="N12" s="2">
        <f>N4*N25</f>
        <v>40212.861930781837</v>
      </c>
      <c r="O12" s="2">
        <f>O4*O25</f>
        <v>42199.377310162468</v>
      </c>
      <c r="P12" s="2">
        <f>P4*P25</f>
        <v>44284.026549284499</v>
      </c>
    </row>
    <row r="13" spans="1:16" x14ac:dyDescent="0.2">
      <c r="B13" s="2" t="s">
        <v>22</v>
      </c>
      <c r="K13" s="2">
        <f>K6-K12</f>
        <v>20057</v>
      </c>
      <c r="L13" s="2">
        <f t="shared" ref="L13:P13" si="3">L6-L12</f>
        <v>21919.994399999989</v>
      </c>
      <c r="M13" s="2">
        <f t="shared" si="3"/>
        <v>23931.973985940007</v>
      </c>
      <c r="N13" s="2">
        <f t="shared" si="3"/>
        <v>26104.017674051887</v>
      </c>
      <c r="O13" s="2">
        <f t="shared" si="3"/>
        <v>28447.994532866913</v>
      </c>
      <c r="P13" s="2">
        <f t="shared" si="3"/>
        <v>30976.618675094687</v>
      </c>
    </row>
    <row r="14" spans="1:16" x14ac:dyDescent="0.2">
      <c r="B14" s="2" t="s">
        <v>39</v>
      </c>
      <c r="K14" s="2">
        <f>2861-1323</f>
        <v>1538</v>
      </c>
      <c r="L14" s="2">
        <f>K27*$S$20</f>
        <v>1.1024</v>
      </c>
      <c r="M14" s="2">
        <f>L27*$S$20</f>
        <v>359.46138879999978</v>
      </c>
      <c r="N14" s="2">
        <f>M27*$S$20</f>
        <v>755.8982235958398</v>
      </c>
      <c r="O14" s="2">
        <f>N27*$S$20</f>
        <v>1193.5862241342036</v>
      </c>
      <c r="P14" s="2">
        <f>O27*$S$20</f>
        <v>1675.9394493457414</v>
      </c>
    </row>
    <row r="15" spans="1:16" x14ac:dyDescent="0.2">
      <c r="B15" s="2" t="s">
        <v>40</v>
      </c>
      <c r="K15" s="2">
        <v>467</v>
      </c>
      <c r="L15" s="2">
        <f>K15*1.02</f>
        <v>476.34000000000003</v>
      </c>
      <c r="M15" s="2">
        <f t="shared" ref="M15:P15" si="4">L15*1.02</f>
        <v>485.86680000000007</v>
      </c>
      <c r="N15" s="2">
        <f t="shared" si="4"/>
        <v>495.58413600000006</v>
      </c>
      <c r="O15" s="2">
        <f t="shared" si="4"/>
        <v>505.49581872000005</v>
      </c>
      <c r="P15" s="2">
        <f t="shared" si="4"/>
        <v>515.60573509440007</v>
      </c>
    </row>
    <row r="16" spans="1:16" x14ac:dyDescent="0.2">
      <c r="B16" s="2" t="s">
        <v>20</v>
      </c>
      <c r="K16" s="2">
        <f>SUM(K13:K15)</f>
        <v>22062</v>
      </c>
      <c r="L16" s="2">
        <f t="shared" ref="L16:P16" si="5">SUM(L13:L15)</f>
        <v>22397.436799999989</v>
      </c>
      <c r="M16" s="2">
        <f t="shared" si="5"/>
        <v>24777.302174740005</v>
      </c>
      <c r="N16" s="2">
        <f t="shared" si="5"/>
        <v>27355.500033647728</v>
      </c>
      <c r="O16" s="2">
        <f t="shared" si="5"/>
        <v>30147.076575721116</v>
      </c>
      <c r="P16" s="2">
        <f t="shared" si="5"/>
        <v>33168.163859534827</v>
      </c>
    </row>
    <row r="17" spans="1:114" x14ac:dyDescent="0.2">
      <c r="B17" s="2" t="s">
        <v>23</v>
      </c>
      <c r="K17" s="2">
        <v>4884</v>
      </c>
      <c r="L17" s="2">
        <f>L16*0.2</f>
        <v>4479.4873599999983</v>
      </c>
      <c r="M17" s="2">
        <f t="shared" ref="M17:P17" si="6">M16*0.2</f>
        <v>4955.4604349480014</v>
      </c>
      <c r="N17" s="2">
        <f t="shared" si="6"/>
        <v>5471.1000067295463</v>
      </c>
      <c r="O17" s="2">
        <f t="shared" si="6"/>
        <v>6029.4153151442233</v>
      </c>
      <c r="P17" s="2">
        <f t="shared" si="6"/>
        <v>6633.6327719069659</v>
      </c>
    </row>
    <row r="18" spans="1:114" s="4" customFormat="1" x14ac:dyDescent="0.2">
      <c r="A18" s="2"/>
      <c r="B18" s="4" t="s">
        <v>24</v>
      </c>
      <c r="K18" s="4">
        <f>K16-K17</f>
        <v>17178</v>
      </c>
      <c r="L18" s="4">
        <f t="shared" ref="L18:P18" si="7">L16-L17</f>
        <v>17917.949439999989</v>
      </c>
      <c r="M18" s="4">
        <f t="shared" si="7"/>
        <v>19821.841739792006</v>
      </c>
      <c r="N18" s="4">
        <f t="shared" si="7"/>
        <v>21884.400026918182</v>
      </c>
      <c r="O18" s="4">
        <f t="shared" si="7"/>
        <v>24117.661260576893</v>
      </c>
      <c r="P18" s="4">
        <f t="shared" si="7"/>
        <v>26534.53108762786</v>
      </c>
      <c r="Q18" s="4">
        <f>P18*(1+$S$21)</f>
        <v>26799.876398504141</v>
      </c>
      <c r="R18" s="4">
        <f>Q18*(1+$S$21)</f>
        <v>27067.875162489181</v>
      </c>
      <c r="S18" s="4">
        <f>R18*(1+$S$21)</f>
        <v>27338.553914114073</v>
      </c>
      <c r="T18" s="4">
        <f>S18*(1+$S$21)</f>
        <v>27611.939453255214</v>
      </c>
      <c r="U18" s="4">
        <f>T18*(1+$S$21)</f>
        <v>27888.058847787768</v>
      </c>
      <c r="V18" s="4">
        <f>U18*(1+$S$21)</f>
        <v>28166.939436265646</v>
      </c>
      <c r="W18" s="4">
        <f>V18*(1+$S$21)</f>
        <v>28448.608830628302</v>
      </c>
      <c r="X18" s="4">
        <f>W18*(1+$S$21)</f>
        <v>28733.094918934585</v>
      </c>
      <c r="Y18" s="4">
        <f>X18*(1+$S$21)</f>
        <v>29020.42586812393</v>
      </c>
      <c r="Z18" s="4">
        <f>Y18*(1+$S$21)</f>
        <v>29310.630126805168</v>
      </c>
      <c r="AA18" s="4">
        <f>Z18*(1+$S$21)</f>
        <v>29603.736428073222</v>
      </c>
      <c r="AB18" s="4">
        <f>AA18*(1+$S$21)</f>
        <v>29899.773792353953</v>
      </c>
      <c r="AC18" s="4">
        <f>AB18*(1+$S$21)</f>
        <v>30198.771530277492</v>
      </c>
      <c r="AD18" s="4">
        <f>AC18*(1+$S$21)</f>
        <v>30500.759245580266</v>
      </c>
      <c r="AE18" s="4">
        <f>AD18*(1+$S$21)</f>
        <v>30805.76683803607</v>
      </c>
      <c r="AF18" s="4">
        <f>AE18*(1+$S$21)</f>
        <v>31113.824506416429</v>
      </c>
      <c r="AG18" s="4">
        <f>AF18*(1+$S$21)</f>
        <v>31424.962751480594</v>
      </c>
      <c r="AH18" s="4">
        <f>AG18*(1+$S$21)</f>
        <v>31739.212378995402</v>
      </c>
      <c r="AI18" s="4">
        <f>AH18*(1+$S$21)</f>
        <v>32056.604502785358</v>
      </c>
      <c r="AJ18" s="4">
        <f>AI18*(1+$S$21)</f>
        <v>32377.170547813213</v>
      </c>
      <c r="AK18" s="4">
        <f>AJ18*(1+$S$21)</f>
        <v>32700.942253291345</v>
      </c>
      <c r="AL18" s="4">
        <f>AK18*(1+$S$21)</f>
        <v>33027.951675824261</v>
      </c>
      <c r="AM18" s="4">
        <f>AL18*(1+$S$21)</f>
        <v>33358.231192582505</v>
      </c>
      <c r="AN18" s="4">
        <f>AM18*(1+$S$21)</f>
        <v>33691.813504508333</v>
      </c>
      <c r="AO18" s="4">
        <f>AN18*(1+$S$21)</f>
        <v>34028.731639553414</v>
      </c>
      <c r="AP18" s="4">
        <f>AO18*(1+$S$21)</f>
        <v>34369.018955948952</v>
      </c>
      <c r="AQ18" s="4">
        <f>AP18*(1+$S$21)</f>
        <v>34712.709145508445</v>
      </c>
      <c r="AR18" s="4">
        <f>AQ18*(1+$S$21)</f>
        <v>35059.836236963529</v>
      </c>
      <c r="AS18" s="4">
        <f>AR18*(1+$S$21)</f>
        <v>35410.434599333166</v>
      </c>
      <c r="AT18" s="4">
        <f>AS18*(1+$S$21)</f>
        <v>35764.538945326502</v>
      </c>
      <c r="AU18" s="4">
        <f>AT18*(1+$S$21)</f>
        <v>36122.184334779769</v>
      </c>
      <c r="AV18" s="4">
        <f>AU18*(1+$S$21)</f>
        <v>36483.406178127567</v>
      </c>
      <c r="AW18" s="4">
        <f>AV18*(1+$S$21)</f>
        <v>36848.240239908846</v>
      </c>
      <c r="AX18" s="4">
        <f>AW18*(1+$S$21)</f>
        <v>37216.722642307934</v>
      </c>
      <c r="AY18" s="4">
        <f>AX18*(1+$S$21)</f>
        <v>37588.889868731014</v>
      </c>
      <c r="AZ18" s="4">
        <f>AY18*(1+$S$21)</f>
        <v>37964.778767418327</v>
      </c>
      <c r="BA18" s="4">
        <f>AZ18*(1+$S$21)</f>
        <v>38344.426555092512</v>
      </c>
      <c r="BB18" s="4">
        <f>BA18*(1+$S$21)</f>
        <v>38727.870820643438</v>
      </c>
      <c r="BC18" s="4">
        <f>BB18*(1+$S$21)</f>
        <v>39115.14952884987</v>
      </c>
      <c r="BD18" s="4">
        <f>BC18*(1+$S$21)</f>
        <v>39506.301024138367</v>
      </c>
      <c r="BE18" s="4">
        <f>BD18*(1+$S$21)</f>
        <v>39901.364034379752</v>
      </c>
      <c r="BF18" s="4">
        <f>BE18*(1+$S$21)</f>
        <v>40300.377674723553</v>
      </c>
      <c r="BG18" s="4">
        <f>BF18*(1+$S$21)</f>
        <v>40703.381451470792</v>
      </c>
      <c r="BH18" s="4">
        <f>BG18*(1+$S$21)</f>
        <v>41110.415265985503</v>
      </c>
      <c r="BI18" s="4">
        <f>BH18*(1+$S$21)</f>
        <v>41521.519418645359</v>
      </c>
      <c r="BJ18" s="4">
        <f>BI18*(1+$S$21)</f>
        <v>41936.734612831809</v>
      </c>
      <c r="BK18" s="4">
        <f>BJ18*(1+$S$21)</f>
        <v>42356.101958960127</v>
      </c>
      <c r="BL18" s="4">
        <f>BK18*(1+$S$21)</f>
        <v>42779.662978549728</v>
      </c>
      <c r="BM18" s="4">
        <f>BL18*(1+$S$21)</f>
        <v>43207.459608335223</v>
      </c>
      <c r="BN18" s="4">
        <f>BM18*(1+$S$21)</f>
        <v>43639.534204418575</v>
      </c>
      <c r="BO18" s="4">
        <f>BN18*(1+$S$21)</f>
        <v>44075.929546462758</v>
      </c>
      <c r="BP18" s="4">
        <f>BO18*(1+$S$21)</f>
        <v>44516.688841927389</v>
      </c>
      <c r="BQ18" s="4">
        <f>BP18*(1+$S$21)</f>
        <v>44961.855730346666</v>
      </c>
      <c r="BR18" s="4">
        <f>BQ18*(1+$S$21)</f>
        <v>45411.474287650133</v>
      </c>
      <c r="BS18" s="4">
        <f>BR18*(1+$S$21)</f>
        <v>45865.589030526637</v>
      </c>
      <c r="BT18" s="4">
        <f>BS18*(1+$S$21)</f>
        <v>46324.244920831901</v>
      </c>
      <c r="BU18" s="4">
        <f>BT18*(1+$S$21)</f>
        <v>46787.487370040224</v>
      </c>
      <c r="BV18" s="4">
        <f>BU18*(1+$S$21)</f>
        <v>47255.36224374063</v>
      </c>
      <c r="BW18" s="4">
        <f>BV18*(1+$S$21)</f>
        <v>47727.915866178038</v>
      </c>
      <c r="BX18" s="4">
        <f>BW18*(1+$S$21)</f>
        <v>48205.195024839821</v>
      </c>
      <c r="BY18" s="4">
        <f>BX18*(1+$S$21)</f>
        <v>48687.246975088223</v>
      </c>
      <c r="BZ18" s="4">
        <f>BY18*(1+$S$21)</f>
        <v>49174.119444839103</v>
      </c>
      <c r="CA18" s="4">
        <f>BZ18*(1+$S$21)</f>
        <v>49665.860639287494</v>
      </c>
      <c r="CB18" s="4">
        <f>CA18*(1+$S$21)</f>
        <v>50162.519245680371</v>
      </c>
      <c r="CC18" s="4">
        <f>CB18*(1+$S$21)</f>
        <v>50664.144438137177</v>
      </c>
      <c r="CD18" s="4">
        <f>CC18*(1+$S$21)</f>
        <v>51170.785882518547</v>
      </c>
      <c r="CE18" s="4">
        <f>CD18*(1+$S$21)</f>
        <v>51682.493741343729</v>
      </c>
      <c r="CF18" s="4">
        <f>CE18*(1+$S$21)</f>
        <v>52199.318678757169</v>
      </c>
      <c r="CG18" s="4">
        <f>CF18*(1+$S$21)</f>
        <v>52721.31186554474</v>
      </c>
      <c r="CH18" s="4">
        <f>CG18*(1+$S$21)</f>
        <v>53248.524984200187</v>
      </c>
      <c r="CI18" s="4">
        <f>CH18*(1+$S$21)</f>
        <v>53781.010234042187</v>
      </c>
      <c r="CJ18" s="4">
        <f>CI18*(1+$S$21)</f>
        <v>54318.820336382611</v>
      </c>
      <c r="CK18" s="4">
        <f>CJ18*(1+$S$21)</f>
        <v>54862.008539746435</v>
      </c>
      <c r="CL18" s="4">
        <f>CK18*(1+$S$21)</f>
        <v>55410.628625143901</v>
      </c>
      <c r="CM18" s="4">
        <f>CL18*(1+$S$21)</f>
        <v>55964.734911395339</v>
      </c>
      <c r="CN18" s="4">
        <f>CM18*(1+$S$21)</f>
        <v>56524.382260509294</v>
      </c>
      <c r="CO18" s="4">
        <f>CN18*(1+$S$21)</f>
        <v>57089.626083114388</v>
      </c>
      <c r="CP18" s="4">
        <f>CO18*(1+$S$21)</f>
        <v>57660.522343945529</v>
      </c>
      <c r="CQ18" s="4">
        <f>CP18*(1+$S$21)</f>
        <v>58237.127567384989</v>
      </c>
      <c r="CR18" s="4">
        <f>CQ18*(1+$S$21)</f>
        <v>58819.498843058842</v>
      </c>
      <c r="CS18" s="4">
        <f>CR18*(1+$S$21)</f>
        <v>59407.693831489429</v>
      </c>
      <c r="CT18" s="4">
        <f>CS18*(1+$S$21)</f>
        <v>60001.770769804323</v>
      </c>
      <c r="CU18" s="4">
        <f>CT18*(1+$S$21)</f>
        <v>60601.78847750237</v>
      </c>
      <c r="CV18" s="4">
        <f>CU18*(1+$S$21)</f>
        <v>61207.806362277392</v>
      </c>
      <c r="CW18" s="4">
        <f>CV18*(1+$S$21)</f>
        <v>61819.884425900163</v>
      </c>
      <c r="CX18" s="4">
        <f>CW18*(1+$S$21)</f>
        <v>62438.083270159164</v>
      </c>
      <c r="CY18" s="4">
        <f>CX18*(1+$S$21)</f>
        <v>63062.464102860758</v>
      </c>
      <c r="CZ18" s="4">
        <f>CY18*(1+$S$21)</f>
        <v>63693.08874388937</v>
      </c>
      <c r="DA18" s="4">
        <f>CZ18*(1+$S$21)</f>
        <v>64330.019631328265</v>
      </c>
      <c r="DB18" s="4">
        <f>DA18*(1+$S$21)</f>
        <v>64973.31982764155</v>
      </c>
      <c r="DC18" s="4">
        <f>DB18*(1+$S$21)</f>
        <v>65623.053025917965</v>
      </c>
      <c r="DD18" s="4">
        <f>DC18*(1+$S$21)</f>
        <v>66279.28355617715</v>
      </c>
      <c r="DE18" s="4">
        <f>DD18*(1+$S$21)</f>
        <v>66942.076391738927</v>
      </c>
      <c r="DF18" s="4">
        <f>DE18*(1+$S$21)</f>
        <v>67611.49715565631</v>
      </c>
      <c r="DG18" s="4">
        <f>DF18*(1+$S$21)</f>
        <v>68287.61212721288</v>
      </c>
      <c r="DH18" s="4">
        <f>DG18*(1+$S$21)</f>
        <v>68970.48824848501</v>
      </c>
      <c r="DI18" s="4">
        <f>DH18*(1+$S$21)</f>
        <v>69660.193130969856</v>
      </c>
      <c r="DJ18" s="4">
        <f>DI18*(1+$S$21)</f>
        <v>70356.795062279562</v>
      </c>
    </row>
    <row r="19" spans="1:114" x14ac:dyDescent="0.2">
      <c r="B19" s="2" t="s">
        <v>1</v>
      </c>
      <c r="K19" s="2">
        <v>19318</v>
      </c>
      <c r="L19" s="2">
        <f>K19*0.98</f>
        <v>18931.64</v>
      </c>
      <c r="M19" s="2">
        <f t="shared" ref="M19:P19" si="8">L19*0.98</f>
        <v>18553.0072</v>
      </c>
      <c r="N19" s="2">
        <f t="shared" si="8"/>
        <v>18181.947056000001</v>
      </c>
      <c r="O19" s="2">
        <f t="shared" si="8"/>
        <v>17818.308114880001</v>
      </c>
      <c r="P19" s="2">
        <f t="shared" si="8"/>
        <v>17461.941952582401</v>
      </c>
    </row>
    <row r="20" spans="1:114" x14ac:dyDescent="0.2">
      <c r="B20" s="2" t="s">
        <v>25</v>
      </c>
      <c r="K20" s="5">
        <f>K18/K19</f>
        <v>0.88922248679987581</v>
      </c>
      <c r="L20" s="5">
        <f>L18/L19</f>
        <v>0.9464552167693866</v>
      </c>
      <c r="M20" s="5">
        <f>M18/M19</f>
        <v>1.0683896969431459</v>
      </c>
      <c r="N20" s="5">
        <f>N18/N19</f>
        <v>1.2036334700301736</v>
      </c>
      <c r="O20" s="5">
        <f>O18/O19</f>
        <v>1.3535326196563144</v>
      </c>
      <c r="P20" s="5">
        <f>P18/P19</f>
        <v>1.519563583459498</v>
      </c>
      <c r="R20" s="2" t="s">
        <v>34</v>
      </c>
      <c r="S20" s="6">
        <v>0.02</v>
      </c>
    </row>
    <row r="21" spans="1:114" x14ac:dyDescent="0.2">
      <c r="R21" s="2" t="s">
        <v>35</v>
      </c>
      <c r="S21" s="6">
        <v>0.01</v>
      </c>
    </row>
    <row r="22" spans="1:114" s="4" customFormat="1" x14ac:dyDescent="0.2">
      <c r="A22" s="2"/>
      <c r="B22" s="4" t="s">
        <v>26</v>
      </c>
      <c r="K22" s="7" t="e">
        <f>K4/J4-1</f>
        <v>#DIV/0!</v>
      </c>
      <c r="L22" s="7">
        <f>L4/K4-1</f>
        <v>6.0000000000000053E-2</v>
      </c>
      <c r="M22" s="7">
        <f>M4/L4-1</f>
        <v>6.0000000000000053E-2</v>
      </c>
      <c r="N22" s="7">
        <f>N4/M4-1</f>
        <v>6.0000000000000053E-2</v>
      </c>
      <c r="O22" s="7">
        <f>O4/N4-1</f>
        <v>6.0000000000000053E-2</v>
      </c>
      <c r="P22" s="7">
        <f>P4/O4-1</f>
        <v>6.0000000000000053E-2</v>
      </c>
      <c r="R22" s="2" t="s">
        <v>36</v>
      </c>
      <c r="S22" s="6">
        <v>7.4999999999999997E-2</v>
      </c>
    </row>
    <row r="23" spans="1:114" s="4" customFormat="1" x14ac:dyDescent="0.2">
      <c r="A23" s="2"/>
      <c r="B23" s="2" t="s">
        <v>27</v>
      </c>
      <c r="C23" s="2"/>
      <c r="D23" s="2"/>
      <c r="E23" s="2"/>
      <c r="F23" s="2"/>
      <c r="G23" s="2"/>
      <c r="H23" s="2"/>
      <c r="I23" s="2"/>
      <c r="J23" s="2"/>
      <c r="K23" s="8">
        <f>K6/K4</f>
        <v>0.39951930080116532</v>
      </c>
      <c r="L23" s="8">
        <f>K23*1.005</f>
        <v>0.40151689730517109</v>
      </c>
      <c r="M23" s="8">
        <f t="shared" ref="M23:P23" si="9">L23*1.005</f>
        <v>0.40352448179169692</v>
      </c>
      <c r="N23" s="8">
        <f t="shared" si="9"/>
        <v>0.40554210420065534</v>
      </c>
      <c r="O23" s="8">
        <f t="shared" si="9"/>
        <v>0.4075698147216586</v>
      </c>
      <c r="P23" s="8">
        <f t="shared" si="9"/>
        <v>0.40960766379526686</v>
      </c>
      <c r="R23" s="4" t="s">
        <v>37</v>
      </c>
      <c r="S23" s="9">
        <f>NPV(S22,L18:XFD18)+Main!M6-Main!M7</f>
        <v>374592.60589794361</v>
      </c>
    </row>
    <row r="24" spans="1:114" x14ac:dyDescent="0.2">
      <c r="B24" s="2" t="s">
        <v>28</v>
      </c>
      <c r="K24" s="8">
        <f>K13/K4</f>
        <v>0.146081573197378</v>
      </c>
      <c r="L24" s="8">
        <f>L13/L4</f>
        <v>0.15061354697742163</v>
      </c>
      <c r="M24" s="8">
        <f>M13/M4</f>
        <v>0.15513016496722509</v>
      </c>
      <c r="N24" s="8">
        <f>N13/N4</f>
        <v>0.15963173054442811</v>
      </c>
      <c r="O24" s="8">
        <f>O13/O4</f>
        <v>0.1641185448019937</v>
      </c>
      <c r="P24" s="8">
        <f>P13/P4</f>
        <v>0.16859090657479853</v>
      </c>
      <c r="R24" s="2" t="s">
        <v>42</v>
      </c>
      <c r="S24" s="5">
        <f>S23/Main!M4</f>
        <v>155.12686857767619</v>
      </c>
    </row>
    <row r="25" spans="1:114" s="4" customFormat="1" x14ac:dyDescent="0.2">
      <c r="A25" s="2"/>
      <c r="B25" s="2" t="s">
        <v>29</v>
      </c>
      <c r="C25" s="2"/>
      <c r="D25" s="2"/>
      <c r="E25" s="2"/>
      <c r="F25" s="2"/>
      <c r="G25" s="2"/>
      <c r="H25" s="2"/>
      <c r="I25" s="2"/>
      <c r="J25" s="2"/>
      <c r="K25" s="8">
        <f>K12/K4</f>
        <v>0.2534377276037873</v>
      </c>
      <c r="L25" s="8">
        <f>K25*0.99</f>
        <v>0.25090335032774941</v>
      </c>
      <c r="M25" s="8">
        <f t="shared" ref="M25:P25" si="10">L25*0.99</f>
        <v>0.24839431682447191</v>
      </c>
      <c r="N25" s="8">
        <f t="shared" si="10"/>
        <v>0.2459103736562272</v>
      </c>
      <c r="O25" s="8">
        <f t="shared" si="10"/>
        <v>0.24345126991966493</v>
      </c>
      <c r="P25" s="8">
        <f t="shared" si="10"/>
        <v>0.24101675722046828</v>
      </c>
      <c r="R25" s="2"/>
      <c r="S25" s="8">
        <f>S24/Main!M3-1</f>
        <v>0.29272390481396826</v>
      </c>
    </row>
    <row r="27" spans="1:114" x14ac:dyDescent="0.2">
      <c r="B27" s="2" t="s">
        <v>33</v>
      </c>
      <c r="K27" s="2">
        <f>K28-K29</f>
        <v>55.120000000000005</v>
      </c>
      <c r="L27" s="2">
        <f>K27+L18</f>
        <v>17973.069439999988</v>
      </c>
      <c r="M27" s="2">
        <f>L27+M18</f>
        <v>37794.91117979199</v>
      </c>
      <c r="N27" s="2">
        <f>M27+N18</f>
        <v>59679.311206710176</v>
      </c>
      <c r="O27" s="2">
        <f>N27+O18</f>
        <v>83796.972467287065</v>
      </c>
      <c r="P27" s="2">
        <f>O27+P18</f>
        <v>110331.50355491493</v>
      </c>
    </row>
    <row r="28" spans="1:114" x14ac:dyDescent="0.2">
      <c r="B28" s="2" t="s">
        <v>3</v>
      </c>
      <c r="K28" s="2">
        <f>20.1+31.53+7.4+27.86+6.03</f>
        <v>92.92</v>
      </c>
    </row>
    <row r="29" spans="1:114" x14ac:dyDescent="0.2">
      <c r="B29" s="2" t="s">
        <v>4</v>
      </c>
      <c r="K29" s="2">
        <f>6.7+6.9+16.9+4.9+2.4</f>
        <v>37.799999999999997</v>
      </c>
    </row>
    <row r="31" spans="1:114" x14ac:dyDescent="0.2">
      <c r="B31" s="2" t="s">
        <v>30</v>
      </c>
    </row>
    <row r="32" spans="1:114" x14ac:dyDescent="0.2">
      <c r="B32" s="2" t="s">
        <v>31</v>
      </c>
    </row>
    <row r="33" spans="2:2" x14ac:dyDescent="0.2">
      <c r="B33" s="2" t="s">
        <v>32</v>
      </c>
    </row>
  </sheetData>
  <hyperlinks>
    <hyperlink ref="A1" location="Main!A1" display="Main" xr:uid="{0A8A7B1D-A45F-4488-AE9E-A800C3D6364F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2025-05-24T00:44:03Z</dcterms:created>
  <dcterms:modified xsi:type="dcterms:W3CDTF">2025-06-06T03:53:16Z</dcterms:modified>
</cp:coreProperties>
</file>