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EF66CB4-E8F0-41BC-AFC8-D052FE32AF52}" xr6:coauthVersionLast="47" xr6:coauthVersionMax="47" xr10:uidLastSave="{00000000-0000-0000-0000-000000000000}"/>
  <bookViews>
    <workbookView xWindow="1740" yWindow="315" windowWidth="21945" windowHeight="14610" activeTab="1" xr2:uid="{5D77292D-10E0-4CAF-8203-C26E2893D99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 s="1"/>
  <c r="K2" i="2" s="1"/>
  <c r="L2" i="2" s="1"/>
  <c r="M2" i="2" s="1"/>
  <c r="N2" i="2" s="1"/>
  <c r="O2" i="2" s="1"/>
  <c r="P2" i="2" s="1"/>
  <c r="Q2" i="2" s="1"/>
  <c r="D11" i="2"/>
  <c r="D10" i="2"/>
  <c r="D9" i="2"/>
  <c r="E9" i="2" s="1"/>
  <c r="F9" i="2" s="1"/>
  <c r="D8" i="2"/>
  <c r="D12" i="2" s="1"/>
  <c r="D6" i="2"/>
  <c r="E6" i="2" s="1"/>
  <c r="F6" i="2" s="1"/>
  <c r="D5" i="2"/>
  <c r="E5" i="2" s="1"/>
  <c r="F5" i="2" s="1"/>
  <c r="D4" i="2"/>
  <c r="E4" i="2" s="1"/>
  <c r="F4" i="2" s="1"/>
  <c r="C12" i="2"/>
  <c r="C7" i="2"/>
  <c r="C47" i="2"/>
  <c r="C59" i="2" s="1"/>
  <c r="C26" i="2"/>
  <c r="C44" i="2" s="1"/>
  <c r="C61" i="2" s="1"/>
  <c r="O2" i="1"/>
  <c r="N4" i="1"/>
  <c r="M3" i="1"/>
  <c r="O3" i="1" s="1"/>
  <c r="M4" i="1" l="1"/>
  <c r="O4" i="1"/>
  <c r="H4" i="2"/>
  <c r="I4" i="2" s="1"/>
  <c r="J4" i="2" s="1"/>
  <c r="K4" i="2" s="1"/>
  <c r="L4" i="2" s="1"/>
  <c r="M4" i="2" s="1"/>
  <c r="N4" i="2" s="1"/>
  <c r="O4" i="2" s="1"/>
  <c r="P4" i="2" s="1"/>
  <c r="Q4" i="2" s="1"/>
  <c r="F7" i="2"/>
  <c r="E7" i="2"/>
  <c r="D7" i="2"/>
  <c r="D18" i="2" s="1"/>
  <c r="H6" i="2"/>
  <c r="I6" i="2" s="1"/>
  <c r="J6" i="2" s="1"/>
  <c r="K6" i="2" s="1"/>
  <c r="L6" i="2" s="1"/>
  <c r="M6" i="2" s="1"/>
  <c r="N6" i="2" s="1"/>
  <c r="O6" i="2" s="1"/>
  <c r="P6" i="2" s="1"/>
  <c r="Q6" i="2" s="1"/>
  <c r="H5" i="2"/>
  <c r="I5" i="2" s="1"/>
  <c r="J5" i="2" s="1"/>
  <c r="K5" i="2" s="1"/>
  <c r="L5" i="2" s="1"/>
  <c r="M5" i="2" s="1"/>
  <c r="N5" i="2" s="1"/>
  <c r="O5" i="2" s="1"/>
  <c r="P5" i="2" s="1"/>
  <c r="Q5" i="2" s="1"/>
  <c r="E11" i="2"/>
  <c r="F11" i="2" s="1"/>
  <c r="E10" i="2"/>
  <c r="F10" i="2" s="1"/>
  <c r="H9" i="2"/>
  <c r="E8" i="2"/>
  <c r="C13" i="2"/>
  <c r="C21" i="2" s="1"/>
  <c r="C64" i="2"/>
  <c r="C62" i="2"/>
  <c r="C65" i="2" s="1"/>
  <c r="E18" i="2" l="1"/>
  <c r="F18" i="2"/>
  <c r="J7" i="2"/>
  <c r="J12" i="2" s="1"/>
  <c r="F8" i="2"/>
  <c r="F12" i="2" s="1"/>
  <c r="F13" i="2" s="1"/>
  <c r="E12" i="2"/>
  <c r="E13" i="2" s="1"/>
  <c r="H7" i="2"/>
  <c r="D13" i="2"/>
  <c r="I7" i="2"/>
  <c r="H11" i="2"/>
  <c r="H10" i="2"/>
  <c r="C15" i="2"/>
  <c r="C19" i="2"/>
  <c r="D14" i="2" l="1"/>
  <c r="D21" i="2"/>
  <c r="I17" i="2"/>
  <c r="I12" i="2"/>
  <c r="E14" i="2"/>
  <c r="E15" i="2" s="1"/>
  <c r="E21" i="2"/>
  <c r="F14" i="2"/>
  <c r="F15" i="2" s="1"/>
  <c r="F21" i="2"/>
  <c r="J17" i="2"/>
  <c r="D15" i="2"/>
  <c r="H14" i="2"/>
  <c r="K7" i="2"/>
  <c r="H8" i="2"/>
  <c r="K17" i="2" l="1"/>
  <c r="K12" i="2"/>
  <c r="H12" i="2"/>
  <c r="H13" i="2" s="1"/>
  <c r="L7" i="2"/>
  <c r="L17" i="2" l="1"/>
  <c r="L12" i="2"/>
  <c r="H15" i="2"/>
  <c r="H21" i="2"/>
  <c r="M7" i="2"/>
  <c r="I13" i="2"/>
  <c r="H19" i="2"/>
  <c r="M17" i="2" l="1"/>
  <c r="M12" i="2"/>
  <c r="I14" i="2"/>
  <c r="I15" i="2"/>
  <c r="J13" i="2"/>
  <c r="J14" i="2" s="1"/>
  <c r="J15" i="2" s="1"/>
  <c r="N7" i="2"/>
  <c r="N17" i="2" l="1"/>
  <c r="N12" i="2"/>
  <c r="O7" i="2"/>
  <c r="K13" i="2"/>
  <c r="K14" i="2" s="1"/>
  <c r="K15" i="2" s="1"/>
  <c r="O17" i="2" l="1"/>
  <c r="O12" i="2"/>
  <c r="L13" i="2"/>
  <c r="L14" i="2" s="1"/>
  <c r="L15" i="2" s="1"/>
  <c r="Q7" i="2"/>
  <c r="Q12" i="2" s="1"/>
  <c r="P7" i="2"/>
  <c r="P17" i="2" l="1"/>
  <c r="P12" i="2"/>
  <c r="Q17" i="2"/>
  <c r="M13" i="2"/>
  <c r="M14" i="2" s="1"/>
  <c r="M15" i="2" s="1"/>
  <c r="N13" i="2" l="1"/>
  <c r="N14" i="2" l="1"/>
  <c r="N15" i="2" s="1"/>
  <c r="O13" i="2"/>
  <c r="O14" i="2" s="1"/>
  <c r="O15" i="2" s="1"/>
  <c r="Q13" i="2" l="1"/>
  <c r="Q14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T19" i="2" s="1"/>
  <c r="T23" i="2" s="1"/>
  <c r="P13" i="2"/>
  <c r="P14" i="2" s="1"/>
  <c r="P15" i="2" s="1"/>
  <c r="T25" i="2" l="1"/>
</calcChain>
</file>

<file path=xl/sharedStrings.xml><?xml version="1.0" encoding="utf-8"?>
<sst xmlns="http://schemas.openxmlformats.org/spreadsheetml/2006/main" count="80" uniqueCount="67">
  <si>
    <t>BRKB</t>
  </si>
  <si>
    <t>Price</t>
  </si>
  <si>
    <t>Shares</t>
  </si>
  <si>
    <t>MC</t>
  </si>
  <si>
    <t>Cash</t>
  </si>
  <si>
    <t>Debt</t>
  </si>
  <si>
    <t>EV</t>
  </si>
  <si>
    <t>BRKA</t>
  </si>
  <si>
    <t>BRKB:BRKA</t>
  </si>
  <si>
    <t>1:1500 RATIO</t>
  </si>
  <si>
    <t>Main</t>
  </si>
  <si>
    <t>Q125</t>
  </si>
  <si>
    <t>T-Bills</t>
  </si>
  <si>
    <t>Securities</t>
  </si>
  <si>
    <t>Equity Method Investments</t>
  </si>
  <si>
    <t>Loans</t>
  </si>
  <si>
    <t>Other Receivables</t>
  </si>
  <si>
    <t>Inventories</t>
  </si>
  <si>
    <t>PP&amp;E</t>
  </si>
  <si>
    <t>Equipment held for lease</t>
  </si>
  <si>
    <t>GW</t>
  </si>
  <si>
    <t>Intangible Assets</t>
  </si>
  <si>
    <t>Deferred Charges - Retroactive Reinsurance</t>
  </si>
  <si>
    <t>Other</t>
  </si>
  <si>
    <t>Railroad, Utilities &amp; Energy</t>
  </si>
  <si>
    <t>AR</t>
  </si>
  <si>
    <t>Regulatory Assets</t>
  </si>
  <si>
    <t>Assets</t>
  </si>
  <si>
    <t>Insurance &amp; Other</t>
  </si>
  <si>
    <t>Loss Adjustment Expenses</t>
  </si>
  <si>
    <t>Unearned Premiums</t>
  </si>
  <si>
    <t>Life Insurance</t>
  </si>
  <si>
    <t>Policyholder Liabilities</t>
  </si>
  <si>
    <t>AP</t>
  </si>
  <si>
    <t>Payable Purchases of T-Bills</t>
  </si>
  <si>
    <t>Aircraft Repurchase Liabilities</t>
  </si>
  <si>
    <t>Notes Payable</t>
  </si>
  <si>
    <t>Regulatory Liabilities</t>
  </si>
  <si>
    <t>Liabilities</t>
  </si>
  <si>
    <t>BOOK VALUE</t>
  </si>
  <si>
    <t>TANGIBLE BOOK VALUE</t>
  </si>
  <si>
    <t>P/B</t>
  </si>
  <si>
    <t>P/TB</t>
  </si>
  <si>
    <t>Utility &amp; Energy COGS</t>
  </si>
  <si>
    <t>Railroad COGS</t>
  </si>
  <si>
    <t>Other Expenses</t>
  </si>
  <si>
    <t>Interest Expense</t>
  </si>
  <si>
    <t>Operating Income</t>
  </si>
  <si>
    <t>Operating Expenses</t>
  </si>
  <si>
    <t>Tax</t>
  </si>
  <si>
    <t>Net Income</t>
  </si>
  <si>
    <t>Railroad Revenue</t>
  </si>
  <si>
    <t>Utility &amp; Energy Operating Rev</t>
  </si>
  <si>
    <t>Service Revenues</t>
  </si>
  <si>
    <t>Revenue</t>
  </si>
  <si>
    <t>Tax Rate</t>
  </si>
  <si>
    <t>Revenue y/y</t>
  </si>
  <si>
    <t>Revenue q/q</t>
  </si>
  <si>
    <t>Maturity</t>
  </si>
  <si>
    <t>Discount</t>
  </si>
  <si>
    <t>NPV</t>
  </si>
  <si>
    <t>P/TB+Rev</t>
  </si>
  <si>
    <t>Fair Price</t>
  </si>
  <si>
    <t>Operating Margin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</si>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</sst>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3" fontId="4" fillId="0" borderId="0" xfId="1" applyNumberFormat="1" applyFont="1"/>
    <xf numFmtId="1" fontId="1" fillId="0" borderId="0" xfId="0" applyNumberFormat="1" applyFont="1"/>
    <xf numFmtId="3" fontId="5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91B4-465A-4E56-8979-BEAA8845F5E5}">
  <dimension ref="A1:P7"/>
  <sheetViews>
    <sheetView zoomScale="115" zoomScaleNormal="115" workbookViewId="0">
      <selection activeCell="N2" sqref="N2"/>
    </sheetView>
  </sheetViews>
  <sheetFormatPr defaultRowHeight="12.75" x14ac:dyDescent="0.2"/>
  <cols>
    <col min="1" max="4" width="9" style="2"/>
    <col min="5" max="5" width="10.25" style="2" bestFit="1" customWidth="1"/>
    <col min="6" max="16384" width="9" style="2"/>
  </cols>
  <sheetData>
    <row r="1" spans="1:16" x14ac:dyDescent="0.2">
      <c r="A1" s="1"/>
      <c r="M1" s="2" t="s">
        <v>0</v>
      </c>
      <c r="N1" s="2" t="s">
        <v>7</v>
      </c>
    </row>
    <row r="2" spans="1:16" x14ac:dyDescent="0.2">
      <c r="L2" s="2" t="s">
        <v>1</v>
      </c>
      <c r="M2" s="3">
        <v>490</v>
      </c>
      <c r="N2" s="3">
        <v>735920</v>
      </c>
      <c r="O2" s="3">
        <f>M2</f>
        <v>490</v>
      </c>
    </row>
    <row r="3" spans="1:16" x14ac:dyDescent="0.2">
      <c r="L3" s="2" t="s">
        <v>2</v>
      </c>
      <c r="M3" s="4">
        <f>1342.84</f>
        <v>1342.84</v>
      </c>
      <c r="N3" s="3">
        <v>0.54300000000000004</v>
      </c>
      <c r="O3" s="2">
        <f>M3+(N3*1500)</f>
        <v>2157.34</v>
      </c>
      <c r="P3" s="2" t="s">
        <v>11</v>
      </c>
    </row>
    <row r="4" spans="1:16" x14ac:dyDescent="0.2">
      <c r="A4" s="2" t="s">
        <v>8</v>
      </c>
      <c r="L4" s="2" t="s">
        <v>3</v>
      </c>
      <c r="M4" s="4">
        <f>M3*M2</f>
        <v>657991.6</v>
      </c>
      <c r="N4" s="4">
        <f>N3*N2</f>
        <v>399604.56000000006</v>
      </c>
      <c r="O4" s="4">
        <f>O3*O2</f>
        <v>1057096.6000000001</v>
      </c>
    </row>
    <row r="5" spans="1:16" x14ac:dyDescent="0.2">
      <c r="A5" s="1" t="s">
        <v>9</v>
      </c>
      <c r="L5" s="2" t="s">
        <v>4</v>
      </c>
      <c r="M5" s="4"/>
      <c r="N5" s="4"/>
      <c r="P5" s="2" t="s">
        <v>11</v>
      </c>
    </row>
    <row r="6" spans="1:16" x14ac:dyDescent="0.2">
      <c r="L6" s="2" t="s">
        <v>5</v>
      </c>
      <c r="M6" s="4"/>
      <c r="P6" s="2" t="s">
        <v>11</v>
      </c>
    </row>
    <row r="7" spans="1:16" x14ac:dyDescent="0.2">
      <c r="L7" s="2" t="s">
        <v>6</v>
      </c>
      <c r="M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1F0D-51FB-4516-80C8-99A1050AEC8B}">
  <dimension ref="A1:DL65"/>
  <sheetViews>
    <sheetView tabSelected="1" zoomScale="130" zoomScaleNormal="130" workbookViewId="0">
      <pane xSplit="2" ySplit="2" topLeftCell="P6" activePane="bottomRight" state="frozen"/>
      <selection pane="topRight" activeCell="C1" sqref="C1"/>
      <selection pane="bottomLeft" activeCell="A2" sqref="A2"/>
      <selection pane="bottomRight" activeCell="R25" sqref="R25"/>
    </sheetView>
  </sheetViews>
  <sheetFormatPr defaultRowHeight="12.75" x14ac:dyDescent="0.2"/>
  <cols>
    <col min="1" max="1" width="4.375" style="4" customWidth="1"/>
    <col min="2" max="2" width="25.125" style="4" customWidth="1"/>
    <col min="3" max="16384" width="9" style="4"/>
  </cols>
  <sheetData>
    <row r="1" spans="1:116" x14ac:dyDescent="0.2">
      <c r="A1" s="5" t="s">
        <v>10</v>
      </c>
    </row>
    <row r="2" spans="1:116" x14ac:dyDescent="0.2">
      <c r="C2" s="4" t="s">
        <v>11</v>
      </c>
      <c r="D2" s="4" t="s">
        <v>64</v>
      </c>
      <c r="E2" s="4" t="s">
        <v>65</v>
      </c>
      <c r="F2" s="4" t="s">
        <v>66</v>
      </c>
      <c r="H2" s="6">
        <v>2025</v>
      </c>
      <c r="I2" s="6">
        <f>H2+1</f>
        <v>2026</v>
      </c>
      <c r="J2" s="6">
        <f t="shared" ref="J2:Q2" si="0">I2+1</f>
        <v>2027</v>
      </c>
      <c r="K2" s="6">
        <f t="shared" si="0"/>
        <v>2028</v>
      </c>
      <c r="L2" s="6">
        <f t="shared" si="0"/>
        <v>2029</v>
      </c>
      <c r="M2" s="6">
        <f t="shared" si="0"/>
        <v>2030</v>
      </c>
      <c r="N2" s="6">
        <f t="shared" si="0"/>
        <v>2031</v>
      </c>
      <c r="O2" s="6">
        <f t="shared" si="0"/>
        <v>2032</v>
      </c>
      <c r="P2" s="6">
        <f t="shared" si="0"/>
        <v>2033</v>
      </c>
      <c r="Q2" s="6">
        <f t="shared" si="0"/>
        <v>2034</v>
      </c>
    </row>
    <row r="3" spans="1:116" x14ac:dyDescent="0.2">
      <c r="B3" s="7" t="s">
        <v>24</v>
      </c>
    </row>
    <row r="4" spans="1:116" x14ac:dyDescent="0.2">
      <c r="B4" s="4" t="s">
        <v>51</v>
      </c>
      <c r="C4" s="4">
        <v>5671</v>
      </c>
      <c r="D4" s="4">
        <f>C4*1.01</f>
        <v>5727.71</v>
      </c>
      <c r="E4" s="4">
        <f t="shared" ref="E4:F4" si="1">D4*1.01</f>
        <v>5784.9871000000003</v>
      </c>
      <c r="F4" s="4">
        <f t="shared" si="1"/>
        <v>5842.8369710000006</v>
      </c>
      <c r="H4" s="4">
        <f t="shared" ref="H4:H11" si="2">SUM(C4:F4)</f>
        <v>23026.534070999998</v>
      </c>
      <c r="I4" s="4">
        <f>H4*1.04</f>
        <v>23947.595433840001</v>
      </c>
      <c r="J4" s="4">
        <f t="shared" ref="J4:Q4" si="3">I4*1.04</f>
        <v>24905.4992511936</v>
      </c>
      <c r="K4" s="4">
        <f t="shared" si="3"/>
        <v>25901.719221241343</v>
      </c>
      <c r="L4" s="4">
        <f t="shared" si="3"/>
        <v>26937.787990090997</v>
      </c>
      <c r="M4" s="4">
        <f t="shared" si="3"/>
        <v>28015.29950969464</v>
      </c>
      <c r="N4" s="4">
        <f t="shared" si="3"/>
        <v>29135.911490082428</v>
      </c>
      <c r="O4" s="4">
        <f t="shared" si="3"/>
        <v>30301.347949685725</v>
      </c>
      <c r="P4" s="4">
        <f t="shared" si="3"/>
        <v>31513.401867673154</v>
      </c>
      <c r="Q4" s="4">
        <f t="shared" si="3"/>
        <v>32773.937942380078</v>
      </c>
    </row>
    <row r="5" spans="1:116" x14ac:dyDescent="0.2">
      <c r="B5" s="4" t="s">
        <v>52</v>
      </c>
      <c r="C5" s="4">
        <v>5494</v>
      </c>
      <c r="D5" s="4">
        <f>C5*1.01</f>
        <v>5548.94</v>
      </c>
      <c r="E5" s="4">
        <f t="shared" ref="E5:F5" si="4">D5*1.01</f>
        <v>5604.4294</v>
      </c>
      <c r="F5" s="4">
        <f t="shared" si="4"/>
        <v>5660.4736940000003</v>
      </c>
      <c r="H5" s="4">
        <f t="shared" si="2"/>
        <v>22307.843094</v>
      </c>
      <c r="I5" s="4">
        <f>H5*1.1</f>
        <v>24538.627403400002</v>
      </c>
      <c r="J5" s="4">
        <f t="shared" ref="J5:Q5" si="5">I5*1.1</f>
        <v>26992.490143740004</v>
      </c>
      <c r="K5" s="4">
        <f t="shared" si="5"/>
        <v>29691.739158114007</v>
      </c>
      <c r="L5" s="4">
        <f t="shared" si="5"/>
        <v>32660.913073925411</v>
      </c>
      <c r="M5" s="4">
        <f t="shared" si="5"/>
        <v>35927.004381317951</v>
      </c>
      <c r="N5" s="4">
        <f t="shared" si="5"/>
        <v>39519.704819449747</v>
      </c>
      <c r="O5" s="4">
        <f t="shared" si="5"/>
        <v>43471.675301394724</v>
      </c>
      <c r="P5" s="4">
        <f t="shared" si="5"/>
        <v>47818.842831534203</v>
      </c>
      <c r="Q5" s="4">
        <f t="shared" si="5"/>
        <v>52600.72711468763</v>
      </c>
    </row>
    <row r="6" spans="1:116" x14ac:dyDescent="0.2">
      <c r="B6" s="4" t="s">
        <v>53</v>
      </c>
      <c r="C6" s="4">
        <v>878</v>
      </c>
      <c r="D6" s="4">
        <f>C6*1.01</f>
        <v>886.78</v>
      </c>
      <c r="E6" s="4">
        <f t="shared" ref="E6:F6" si="6">D6*1.01</f>
        <v>895.64779999999996</v>
      </c>
      <c r="F6" s="4">
        <f t="shared" si="6"/>
        <v>904.60427800000002</v>
      </c>
      <c r="H6" s="4">
        <f t="shared" si="2"/>
        <v>3565.0320780000002</v>
      </c>
      <c r="I6" s="4">
        <f>H6*1.03</f>
        <v>3671.9830403400001</v>
      </c>
      <c r="J6" s="4">
        <f t="shared" ref="J6:Q6" si="7">I6*1.03</f>
        <v>3782.1425315502001</v>
      </c>
      <c r="K6" s="4">
        <f t="shared" si="7"/>
        <v>3895.6068074967061</v>
      </c>
      <c r="L6" s="4">
        <f t="shared" si="7"/>
        <v>4012.4750117216072</v>
      </c>
      <c r="M6" s="4">
        <f t="shared" si="7"/>
        <v>4132.8492620732559</v>
      </c>
      <c r="N6" s="4">
        <f t="shared" si="7"/>
        <v>4256.8347399354534</v>
      </c>
      <c r="O6" s="4">
        <f t="shared" si="7"/>
        <v>4384.5397821335173</v>
      </c>
      <c r="P6" s="4">
        <f t="shared" si="7"/>
        <v>4516.0759755975232</v>
      </c>
      <c r="Q6" s="4">
        <f t="shared" si="7"/>
        <v>4651.5582548654493</v>
      </c>
    </row>
    <row r="7" spans="1:116" s="8" customFormat="1" x14ac:dyDescent="0.2">
      <c r="A7" s="4"/>
      <c r="B7" s="8" t="s">
        <v>54</v>
      </c>
      <c r="C7" s="8">
        <f>SUM(C4:C6)</f>
        <v>12043</v>
      </c>
      <c r="D7" s="8">
        <f t="shared" ref="D7:F7" si="8">SUM(D4:D6)</f>
        <v>12163.43</v>
      </c>
      <c r="E7" s="8">
        <f t="shared" si="8"/>
        <v>12285.0643</v>
      </c>
      <c r="F7" s="8">
        <f t="shared" si="8"/>
        <v>12407.914943000002</v>
      </c>
      <c r="H7" s="8">
        <f t="shared" si="2"/>
        <v>48899.409243000002</v>
      </c>
      <c r="I7" s="8">
        <f>SUM(I4:I6)</f>
        <v>52158.205877579996</v>
      </c>
      <c r="J7" s="8">
        <f t="shared" ref="J7:Q7" si="9">SUM(J4:J6)</f>
        <v>55680.131926483802</v>
      </c>
      <c r="K7" s="8">
        <f t="shared" si="9"/>
        <v>59489.065186852051</v>
      </c>
      <c r="L7" s="8">
        <f t="shared" si="9"/>
        <v>63611.176075738018</v>
      </c>
      <c r="M7" s="8">
        <f t="shared" si="9"/>
        <v>68075.153153085848</v>
      </c>
      <c r="N7" s="8">
        <f t="shared" si="9"/>
        <v>72912.451049467621</v>
      </c>
      <c r="O7" s="8">
        <f t="shared" si="9"/>
        <v>78157.56303321397</v>
      </c>
      <c r="P7" s="8">
        <f t="shared" si="9"/>
        <v>83848.320674804883</v>
      </c>
      <c r="Q7" s="8">
        <f t="shared" si="9"/>
        <v>90026.22331193315</v>
      </c>
    </row>
    <row r="8" spans="1:116" x14ac:dyDescent="0.2">
      <c r="B8" s="4" t="s">
        <v>44</v>
      </c>
      <c r="C8" s="4">
        <v>3873</v>
      </c>
      <c r="D8" s="4">
        <f>C8*1.01</f>
        <v>3911.73</v>
      </c>
      <c r="E8" s="4">
        <f t="shared" ref="E8:F8" si="10">D8*1.01</f>
        <v>3950.8472999999999</v>
      </c>
      <c r="F8" s="4">
        <f t="shared" si="10"/>
        <v>3990.3557729999998</v>
      </c>
      <c r="H8" s="4">
        <f t="shared" si="2"/>
        <v>15725.933072999998</v>
      </c>
    </row>
    <row r="9" spans="1:116" x14ac:dyDescent="0.2">
      <c r="B9" s="4" t="s">
        <v>43</v>
      </c>
      <c r="C9" s="4">
        <v>4091</v>
      </c>
      <c r="D9" s="4">
        <f>C9*1.01</f>
        <v>4131.91</v>
      </c>
      <c r="E9" s="4">
        <f t="shared" ref="E9:F9" si="11">D9*1.01</f>
        <v>4173.2290999999996</v>
      </c>
      <c r="F9" s="4">
        <f t="shared" si="11"/>
        <v>4214.9613909999998</v>
      </c>
      <c r="H9" s="4">
        <f t="shared" si="2"/>
        <v>16611.100491000001</v>
      </c>
    </row>
    <row r="10" spans="1:116" x14ac:dyDescent="0.2">
      <c r="B10" s="4" t="s">
        <v>45</v>
      </c>
      <c r="C10" s="4">
        <v>846</v>
      </c>
      <c r="D10" s="4">
        <f>C10*1.01</f>
        <v>854.46</v>
      </c>
      <c r="E10" s="4">
        <f t="shared" ref="E10:F10" si="12">D10*1.01</f>
        <v>863.0046000000001</v>
      </c>
      <c r="F10" s="4">
        <f t="shared" si="12"/>
        <v>871.63464600000009</v>
      </c>
      <c r="H10" s="4">
        <f t="shared" si="2"/>
        <v>3435.0992460000002</v>
      </c>
    </row>
    <row r="11" spans="1:116" x14ac:dyDescent="0.2">
      <c r="B11" s="4" t="s">
        <v>46</v>
      </c>
      <c r="C11" s="4">
        <v>917</v>
      </c>
      <c r="D11" s="4">
        <f>C11*1.01</f>
        <v>926.17</v>
      </c>
      <c r="E11" s="4">
        <f t="shared" ref="E11:F11" si="13">D11*1.01</f>
        <v>935.43169999999998</v>
      </c>
      <c r="F11" s="4">
        <f t="shared" si="13"/>
        <v>944.78601700000002</v>
      </c>
      <c r="H11" s="4">
        <f t="shared" si="2"/>
        <v>3723.3877170000001</v>
      </c>
    </row>
    <row r="12" spans="1:116" x14ac:dyDescent="0.2">
      <c r="B12" s="4" t="s">
        <v>48</v>
      </c>
      <c r="C12" s="4">
        <f>SUM(C8:C11)</f>
        <v>9727</v>
      </c>
      <c r="D12" s="4">
        <f t="shared" ref="D12:H12" si="14">SUM(D8:D11)</f>
        <v>9824.2699999999986</v>
      </c>
      <c r="E12" s="4">
        <f t="shared" si="14"/>
        <v>9922.5126999999993</v>
      </c>
      <c r="F12" s="4">
        <f t="shared" si="14"/>
        <v>10021.737827000001</v>
      </c>
      <c r="H12" s="4">
        <f t="shared" si="14"/>
        <v>39495.520526999993</v>
      </c>
      <c r="I12" s="4">
        <f>I7*(1-I21)</f>
        <v>41726.564702064003</v>
      </c>
      <c r="J12" s="4">
        <f t="shared" ref="J12:Q12" si="15">J7*(1-J21)</f>
        <v>44544.105541187047</v>
      </c>
      <c r="K12" s="4">
        <f t="shared" si="15"/>
        <v>47591.252149481646</v>
      </c>
      <c r="L12" s="4">
        <f t="shared" si="15"/>
        <v>50888.940860590417</v>
      </c>
      <c r="M12" s="4">
        <f t="shared" si="15"/>
        <v>54460.122522468679</v>
      </c>
      <c r="N12" s="4">
        <f t="shared" si="15"/>
        <v>58329.960839574102</v>
      </c>
      <c r="O12" s="4">
        <f t="shared" si="15"/>
        <v>62526.050426571179</v>
      </c>
      <c r="P12" s="4">
        <f t="shared" si="15"/>
        <v>67078.656539843912</v>
      </c>
      <c r="Q12" s="4">
        <f t="shared" si="15"/>
        <v>72020.978649546523</v>
      </c>
    </row>
    <row r="13" spans="1:116" x14ac:dyDescent="0.2">
      <c r="B13" s="4" t="s">
        <v>47</v>
      </c>
      <c r="C13" s="4">
        <f>C7-C12</f>
        <v>2316</v>
      </c>
      <c r="D13" s="4">
        <f t="shared" ref="D13:H13" si="16">D7-D12</f>
        <v>2339.1600000000017</v>
      </c>
      <c r="E13" s="4">
        <f t="shared" si="16"/>
        <v>2362.5516000000007</v>
      </c>
      <c r="F13" s="4">
        <f t="shared" si="16"/>
        <v>2386.1771160000008</v>
      </c>
      <c r="H13" s="4">
        <f t="shared" si="16"/>
        <v>9403.8887160000086</v>
      </c>
      <c r="I13" s="4">
        <f t="shared" ref="I13" si="17">I7-I12</f>
        <v>10431.641175515993</v>
      </c>
      <c r="J13" s="4">
        <f t="shared" ref="J13" si="18">J7-J12</f>
        <v>11136.026385296755</v>
      </c>
      <c r="K13" s="4">
        <f t="shared" ref="K13" si="19">K7-K12</f>
        <v>11897.813037370404</v>
      </c>
      <c r="L13" s="4">
        <f t="shared" ref="L13" si="20">L7-L12</f>
        <v>12722.235215147601</v>
      </c>
      <c r="M13" s="4">
        <f t="shared" ref="M13" si="21">M7-M12</f>
        <v>13615.03063061717</v>
      </c>
      <c r="N13" s="4">
        <f t="shared" ref="N13" si="22">N7-N12</f>
        <v>14582.49020989352</v>
      </c>
      <c r="O13" s="4">
        <f t="shared" ref="O13" si="23">O7-O12</f>
        <v>15631.512606642791</v>
      </c>
      <c r="P13" s="4">
        <f t="shared" ref="P13" si="24">P7-P12</f>
        <v>16769.664134960971</v>
      </c>
      <c r="Q13" s="4">
        <f t="shared" ref="Q13" si="25">Q7-Q12</f>
        <v>18005.244662386627</v>
      </c>
    </row>
    <row r="14" spans="1:116" x14ac:dyDescent="0.2">
      <c r="B14" s="4" t="s">
        <v>49</v>
      </c>
      <c r="C14" s="4">
        <v>476</v>
      </c>
      <c r="D14" s="4">
        <f>D13*D19</f>
        <v>491.22360000000032</v>
      </c>
      <c r="E14" s="4">
        <f t="shared" ref="E14:F14" si="26">E13*E19</f>
        <v>496.13583600000015</v>
      </c>
      <c r="F14" s="4">
        <f t="shared" si="26"/>
        <v>501.09719436000012</v>
      </c>
      <c r="H14" s="4">
        <f>SUM(C14:F14)</f>
        <v>1964.4566303600004</v>
      </c>
      <c r="I14" s="4">
        <f t="shared" ref="I14" si="27">I13*I19</f>
        <v>2190.6446468583586</v>
      </c>
      <c r="J14" s="4">
        <f t="shared" ref="J14" si="28">J13*J19</f>
        <v>2338.5655409123183</v>
      </c>
      <c r="K14" s="4">
        <f t="shared" ref="K14" si="29">K13*K19</f>
        <v>2498.5407378477848</v>
      </c>
      <c r="L14" s="4">
        <f t="shared" ref="L14" si="30">L13*L19</f>
        <v>2671.6693951809962</v>
      </c>
      <c r="M14" s="4">
        <f t="shared" ref="M14" si="31">M13*M19</f>
        <v>2859.1564324296055</v>
      </c>
      <c r="N14" s="4">
        <f t="shared" ref="N14" si="32">N13*N19</f>
        <v>3062.322944077639</v>
      </c>
      <c r="O14" s="4">
        <f t="shared" ref="O14" si="33">O13*O19</f>
        <v>3282.6176473949859</v>
      </c>
      <c r="P14" s="4">
        <f t="shared" ref="P14" si="34">P13*P19</f>
        <v>3521.6294683418037</v>
      </c>
      <c r="Q14" s="4">
        <f t="shared" ref="Q14" si="35">Q13*Q19</f>
        <v>3781.1013791011915</v>
      </c>
    </row>
    <row r="15" spans="1:116" s="8" customFormat="1" x14ac:dyDescent="0.2">
      <c r="A15" s="4"/>
      <c r="B15" s="8" t="s">
        <v>50</v>
      </c>
      <c r="C15" s="8">
        <f>C13-C14</f>
        <v>1840</v>
      </c>
      <c r="D15" s="8">
        <f t="shared" ref="D15:H15" si="36">D13-D14</f>
        <v>1847.9364000000014</v>
      </c>
      <c r="E15" s="8">
        <f t="shared" si="36"/>
        <v>1866.4157640000005</v>
      </c>
      <c r="F15" s="8">
        <f t="shared" si="36"/>
        <v>1885.0799216400005</v>
      </c>
      <c r="H15" s="8">
        <f t="shared" si="36"/>
        <v>7439.4320856400082</v>
      </c>
      <c r="I15" s="8">
        <f t="shared" ref="I15" si="37">I13-I14</f>
        <v>8240.9965286576353</v>
      </c>
      <c r="J15" s="8">
        <f t="shared" ref="J15" si="38">J13-J14</f>
        <v>8797.4608443844372</v>
      </c>
      <c r="K15" s="8">
        <f t="shared" ref="K15" si="39">K13-K14</f>
        <v>9399.2722995226195</v>
      </c>
      <c r="L15" s="8">
        <f t="shared" ref="L15" si="40">L13-L14</f>
        <v>10050.565819966605</v>
      </c>
      <c r="M15" s="8">
        <f t="shared" ref="M15" si="41">M13-M14</f>
        <v>10755.874198187565</v>
      </c>
      <c r="N15" s="8">
        <f t="shared" ref="N15" si="42">N13-N14</f>
        <v>11520.16726581588</v>
      </c>
      <c r="O15" s="8">
        <f t="shared" ref="O15" si="43">O13-O14</f>
        <v>12348.894959247806</v>
      </c>
      <c r="P15" s="8">
        <f t="shared" ref="P15" si="44">P13-P14</f>
        <v>13248.034666619167</v>
      </c>
      <c r="Q15" s="8">
        <f t="shared" ref="Q15" si="45">Q13-Q14</f>
        <v>14224.143283285435</v>
      </c>
      <c r="R15" s="8">
        <f>Q15*(1+$T$17)</f>
        <v>14366.384716118289</v>
      </c>
      <c r="S15" s="8">
        <f t="shared" ref="S15:CD15" si="46">R15*(1+$T$17)</f>
        <v>14510.048563279472</v>
      </c>
      <c r="T15" s="8">
        <f t="shared" si="46"/>
        <v>14655.149048912266</v>
      </c>
      <c r="U15" s="8">
        <f t="shared" si="46"/>
        <v>14801.700539401389</v>
      </c>
      <c r="V15" s="8">
        <f t="shared" si="46"/>
        <v>14949.717544795403</v>
      </c>
      <c r="W15" s="8">
        <f t="shared" si="46"/>
        <v>15099.214720243357</v>
      </c>
      <c r="X15" s="8">
        <f t="shared" si="46"/>
        <v>15250.206867445791</v>
      </c>
      <c r="Y15" s="8">
        <f t="shared" si="46"/>
        <v>15402.708936120249</v>
      </c>
      <c r="Z15" s="8">
        <f t="shared" si="46"/>
        <v>15556.736025481452</v>
      </c>
      <c r="AA15" s="8">
        <f t="shared" si="46"/>
        <v>15712.303385736266</v>
      </c>
      <c r="AB15" s="8">
        <f t="shared" si="46"/>
        <v>15869.426419593628</v>
      </c>
      <c r="AC15" s="8">
        <f t="shared" si="46"/>
        <v>16028.120683789564</v>
      </c>
      <c r="AD15" s="8">
        <f t="shared" si="46"/>
        <v>16188.40189062746</v>
      </c>
      <c r="AE15" s="8">
        <f t="shared" si="46"/>
        <v>16350.285909533734</v>
      </c>
      <c r="AF15" s="8">
        <f t="shared" si="46"/>
        <v>16513.788768629071</v>
      </c>
      <c r="AG15" s="8">
        <f t="shared" si="46"/>
        <v>16678.926656315361</v>
      </c>
      <c r="AH15" s="8">
        <f t="shared" si="46"/>
        <v>16845.715922878517</v>
      </c>
      <c r="AI15" s="8">
        <f t="shared" si="46"/>
        <v>17014.173082107303</v>
      </c>
      <c r="AJ15" s="8">
        <f t="shared" si="46"/>
        <v>17184.314812928376</v>
      </c>
      <c r="AK15" s="8">
        <f t="shared" si="46"/>
        <v>17356.157961057659</v>
      </c>
      <c r="AL15" s="8">
        <f t="shared" si="46"/>
        <v>17529.719540668237</v>
      </c>
      <c r="AM15" s="8">
        <f t="shared" si="46"/>
        <v>17705.016736074918</v>
      </c>
      <c r="AN15" s="8">
        <f t="shared" si="46"/>
        <v>17882.066903435669</v>
      </c>
      <c r="AO15" s="8">
        <f t="shared" si="46"/>
        <v>18060.887572470026</v>
      </c>
      <c r="AP15" s="8">
        <f t="shared" si="46"/>
        <v>18241.496448194728</v>
      </c>
      <c r="AQ15" s="8">
        <f t="shared" si="46"/>
        <v>18423.911412676676</v>
      </c>
      <c r="AR15" s="8">
        <f t="shared" si="46"/>
        <v>18608.150526803442</v>
      </c>
      <c r="AS15" s="8">
        <f t="shared" si="46"/>
        <v>18794.232032071475</v>
      </c>
      <c r="AT15" s="8">
        <f t="shared" si="46"/>
        <v>18982.17435239219</v>
      </c>
      <c r="AU15" s="8">
        <f t="shared" si="46"/>
        <v>19171.996095916111</v>
      </c>
      <c r="AV15" s="8">
        <f t="shared" si="46"/>
        <v>19363.716056875273</v>
      </c>
      <c r="AW15" s="8">
        <f t="shared" si="46"/>
        <v>19557.353217444026</v>
      </c>
      <c r="AX15" s="8">
        <f t="shared" si="46"/>
        <v>19752.926749618466</v>
      </c>
      <c r="AY15" s="8">
        <f t="shared" si="46"/>
        <v>19950.456017114651</v>
      </c>
      <c r="AZ15" s="8">
        <f t="shared" si="46"/>
        <v>20149.960577285798</v>
      </c>
      <c r="BA15" s="8">
        <f t="shared" si="46"/>
        <v>20351.460183058654</v>
      </c>
      <c r="BB15" s="8">
        <f t="shared" si="46"/>
        <v>20554.97478488924</v>
      </c>
      <c r="BC15" s="8">
        <f t="shared" si="46"/>
        <v>20760.524532738134</v>
      </c>
      <c r="BD15" s="8">
        <f t="shared" si="46"/>
        <v>20968.129778065515</v>
      </c>
      <c r="BE15" s="8">
        <f t="shared" si="46"/>
        <v>21177.81107584617</v>
      </c>
      <c r="BF15" s="8">
        <f t="shared" si="46"/>
        <v>21389.589186604633</v>
      </c>
      <c r="BG15" s="8">
        <f t="shared" si="46"/>
        <v>21603.48507847068</v>
      </c>
      <c r="BH15" s="8">
        <f t="shared" si="46"/>
        <v>21819.519929255388</v>
      </c>
      <c r="BI15" s="8">
        <f t="shared" si="46"/>
        <v>22037.715128547941</v>
      </c>
      <c r="BJ15" s="8">
        <f t="shared" si="46"/>
        <v>22258.092279833421</v>
      </c>
      <c r="BK15" s="8">
        <f t="shared" si="46"/>
        <v>22480.673202631755</v>
      </c>
      <c r="BL15" s="8">
        <f t="shared" si="46"/>
        <v>22705.479934658073</v>
      </c>
      <c r="BM15" s="8">
        <f t="shared" si="46"/>
        <v>22932.534734004654</v>
      </c>
      <c r="BN15" s="8">
        <f t="shared" si="46"/>
        <v>23161.860081344701</v>
      </c>
      <c r="BO15" s="8">
        <f t="shared" si="46"/>
        <v>23393.478682158147</v>
      </c>
      <c r="BP15" s="8">
        <f t="shared" si="46"/>
        <v>23627.413468979728</v>
      </c>
      <c r="BQ15" s="8">
        <f t="shared" si="46"/>
        <v>23863.687603669525</v>
      </c>
      <c r="BR15" s="8">
        <f t="shared" si="46"/>
        <v>24102.324479706222</v>
      </c>
      <c r="BS15" s="8">
        <f t="shared" si="46"/>
        <v>24343.347724503285</v>
      </c>
      <c r="BT15" s="8">
        <f t="shared" si="46"/>
        <v>24586.781201748319</v>
      </c>
      <c r="BU15" s="8">
        <f t="shared" si="46"/>
        <v>24832.649013765804</v>
      </c>
      <c r="BV15" s="8">
        <f t="shared" si="46"/>
        <v>25080.975503903461</v>
      </c>
      <c r="BW15" s="8">
        <f t="shared" si="46"/>
        <v>25331.785258942495</v>
      </c>
      <c r="BX15" s="8">
        <f t="shared" si="46"/>
        <v>25585.10311153192</v>
      </c>
      <c r="BY15" s="8">
        <f t="shared" si="46"/>
        <v>25840.954142647239</v>
      </c>
      <c r="BZ15" s="8">
        <f t="shared" si="46"/>
        <v>26099.363684073713</v>
      </c>
      <c r="CA15" s="8">
        <f t="shared" si="46"/>
        <v>26360.357320914449</v>
      </c>
      <c r="CB15" s="8">
        <f t="shared" si="46"/>
        <v>26623.960894123593</v>
      </c>
      <c r="CC15" s="8">
        <f t="shared" si="46"/>
        <v>26890.200503064829</v>
      </c>
      <c r="CD15" s="8">
        <f t="shared" si="46"/>
        <v>27159.102508095479</v>
      </c>
      <c r="CE15" s="8">
        <f t="shared" ref="CE15:DL15" si="47">CD15*(1+$T$17)</f>
        <v>27430.693533176433</v>
      </c>
      <c r="CF15" s="8">
        <f t="shared" si="47"/>
        <v>27705.000468508199</v>
      </c>
      <c r="CG15" s="8">
        <f t="shared" si="47"/>
        <v>27982.050473193282</v>
      </c>
      <c r="CH15" s="8">
        <f t="shared" si="47"/>
        <v>28261.870977925213</v>
      </c>
      <c r="CI15" s="8">
        <f t="shared" si="47"/>
        <v>28544.489687704467</v>
      </c>
      <c r="CJ15" s="8">
        <f t="shared" si="47"/>
        <v>28829.934584581511</v>
      </c>
      <c r="CK15" s="8">
        <f t="shared" si="47"/>
        <v>29118.233930427326</v>
      </c>
      <c r="CL15" s="8">
        <f t="shared" si="47"/>
        <v>29409.416269731599</v>
      </c>
      <c r="CM15" s="8">
        <f t="shared" si="47"/>
        <v>29703.510432428913</v>
      </c>
      <c r="CN15" s="8">
        <f t="shared" si="47"/>
        <v>30000.545536753201</v>
      </c>
      <c r="CO15" s="8">
        <f t="shared" si="47"/>
        <v>30300.550992120734</v>
      </c>
      <c r="CP15" s="8">
        <f t="shared" si="47"/>
        <v>30603.556502041942</v>
      </c>
      <c r="CQ15" s="8">
        <f t="shared" si="47"/>
        <v>30909.59206706236</v>
      </c>
      <c r="CR15" s="8">
        <f t="shared" si="47"/>
        <v>31218.687987732985</v>
      </c>
      <c r="CS15" s="8">
        <f t="shared" si="47"/>
        <v>31530.874867610313</v>
      </c>
      <c r="CT15" s="8">
        <f t="shared" si="47"/>
        <v>31846.183616286417</v>
      </c>
      <c r="CU15" s="8">
        <f t="shared" si="47"/>
        <v>32164.64545244928</v>
      </c>
      <c r="CV15" s="8">
        <f t="shared" si="47"/>
        <v>32486.291906973773</v>
      </c>
      <c r="CW15" s="8">
        <f t="shared" si="47"/>
        <v>32811.154826043508</v>
      </c>
      <c r="CX15" s="8">
        <f t="shared" si="47"/>
        <v>33139.266374303945</v>
      </c>
      <c r="CY15" s="8">
        <f t="shared" si="47"/>
        <v>33470.659038046986</v>
      </c>
      <c r="CZ15" s="8">
        <f t="shared" si="47"/>
        <v>33805.365628427455</v>
      </c>
      <c r="DA15" s="8">
        <f t="shared" si="47"/>
        <v>34143.41928471173</v>
      </c>
      <c r="DB15" s="8">
        <f t="shared" si="47"/>
        <v>34484.853477558849</v>
      </c>
      <c r="DC15" s="8">
        <f t="shared" si="47"/>
        <v>34829.702012334441</v>
      </c>
      <c r="DD15" s="8">
        <f t="shared" si="47"/>
        <v>35177.999032457788</v>
      </c>
      <c r="DE15" s="8">
        <f t="shared" si="47"/>
        <v>35529.779022782364</v>
      </c>
      <c r="DF15" s="8">
        <f t="shared" si="47"/>
        <v>35885.076813010186</v>
      </c>
      <c r="DG15" s="8">
        <f t="shared" si="47"/>
        <v>36243.927581140291</v>
      </c>
      <c r="DH15" s="8">
        <f t="shared" si="47"/>
        <v>36606.366856951696</v>
      </c>
      <c r="DI15" s="8">
        <f t="shared" si="47"/>
        <v>36972.430525521217</v>
      </c>
      <c r="DJ15" s="8">
        <f t="shared" si="47"/>
        <v>37342.154830776431</v>
      </c>
      <c r="DK15" s="8">
        <f t="shared" si="47"/>
        <v>37715.576379084196</v>
      </c>
      <c r="DL15" s="8">
        <f t="shared" si="47"/>
        <v>38092.732142875037</v>
      </c>
    </row>
    <row r="16" spans="1:116" s="8" customFormat="1" x14ac:dyDescent="0.2">
      <c r="A16" s="4"/>
    </row>
    <row r="17" spans="1:20" s="8" customFormat="1" x14ac:dyDescent="0.2">
      <c r="A17" s="4"/>
      <c r="B17" s="8" t="s">
        <v>56</v>
      </c>
      <c r="I17" s="9">
        <f>I7/H7-1</f>
        <v>6.6642863073984815E-2</v>
      </c>
      <c r="J17" s="9">
        <f t="shared" ref="J17:Q17" si="48">J7/I7-1</f>
        <v>6.7523910948357413E-2</v>
      </c>
      <c r="K17" s="9">
        <f t="shared" si="48"/>
        <v>6.8407403656968624E-2</v>
      </c>
      <c r="L17" s="9">
        <f t="shared" si="48"/>
        <v>6.9291908957362702E-2</v>
      </c>
      <c r="M17" s="9">
        <f t="shared" si="48"/>
        <v>7.0175987188679567E-2</v>
      </c>
      <c r="N17" s="9">
        <f t="shared" si="48"/>
        <v>7.1058200713904673E-2</v>
      </c>
      <c r="O17" s="9">
        <f t="shared" si="48"/>
        <v>7.1937123334227193E-2</v>
      </c>
      <c r="P17" s="9">
        <f t="shared" si="48"/>
        <v>7.2811349544925852E-2</v>
      </c>
      <c r="Q17" s="9">
        <f t="shared" si="48"/>
        <v>7.3679503505961419E-2</v>
      </c>
      <c r="S17" s="4" t="s">
        <v>58</v>
      </c>
      <c r="T17" s="10">
        <v>0.01</v>
      </c>
    </row>
    <row r="18" spans="1:20" s="8" customFormat="1" x14ac:dyDescent="0.2">
      <c r="A18" s="4"/>
      <c r="B18" s="4" t="s">
        <v>57</v>
      </c>
      <c r="D18" s="9">
        <f>D7/C7-1</f>
        <v>1.0000000000000009E-2</v>
      </c>
      <c r="E18" s="9">
        <f t="shared" ref="E18:F18" si="49">E7/D7-1</f>
        <v>1.0000000000000009E-2</v>
      </c>
      <c r="F18" s="9">
        <f t="shared" si="49"/>
        <v>1.0000000000000231E-2</v>
      </c>
      <c r="S18" s="4" t="s">
        <v>59</v>
      </c>
      <c r="T18" s="10">
        <v>7.4999999999999997E-2</v>
      </c>
    </row>
    <row r="19" spans="1:20" s="8" customFormat="1" x14ac:dyDescent="0.2">
      <c r="A19" s="4"/>
      <c r="B19" s="4" t="s">
        <v>55</v>
      </c>
      <c r="C19" s="11">
        <f>C14/C13</f>
        <v>0.20552677029360966</v>
      </c>
      <c r="D19" s="11">
        <v>0.21</v>
      </c>
      <c r="E19" s="11">
        <v>0.21</v>
      </c>
      <c r="F19" s="11">
        <v>0.21</v>
      </c>
      <c r="G19" s="11"/>
      <c r="H19" s="11">
        <f>H14/H13</f>
        <v>0.20889832809459191</v>
      </c>
      <c r="I19" s="11">
        <v>0.21</v>
      </c>
      <c r="J19" s="11">
        <v>0.21</v>
      </c>
      <c r="K19" s="11">
        <v>0.21</v>
      </c>
      <c r="L19" s="11">
        <v>0.21</v>
      </c>
      <c r="M19" s="11">
        <v>0.21</v>
      </c>
      <c r="N19" s="11">
        <v>0.21</v>
      </c>
      <c r="O19" s="11">
        <v>0.21</v>
      </c>
      <c r="P19" s="11">
        <v>0.21</v>
      </c>
      <c r="Q19" s="11">
        <v>0.21</v>
      </c>
      <c r="S19" s="8" t="s">
        <v>60</v>
      </c>
      <c r="T19" s="8">
        <f>NPV(T18,H15:DL15)+C62</f>
        <v>792613.88653164415</v>
      </c>
    </row>
    <row r="20" spans="1:20" s="8" customFormat="1" x14ac:dyDescent="0.2">
      <c r="A20" s="4"/>
      <c r="B20" s="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20" s="8" customFormat="1" x14ac:dyDescent="0.2">
      <c r="A21" s="4"/>
      <c r="B21" s="4" t="s">
        <v>63</v>
      </c>
      <c r="C21" s="11">
        <f>C13/C7</f>
        <v>0.1923108859918625</v>
      </c>
      <c r="D21" s="11">
        <f t="shared" ref="D21:H21" si="50">D13/D7</f>
        <v>0.19231088599186263</v>
      </c>
      <c r="E21" s="11">
        <f t="shared" si="50"/>
        <v>0.19231088599186255</v>
      </c>
      <c r="F21" s="11">
        <f t="shared" si="50"/>
        <v>0.19231088599186252</v>
      </c>
      <c r="G21" s="11"/>
      <c r="H21" s="11">
        <f t="shared" si="50"/>
        <v>0.19231088599186266</v>
      </c>
      <c r="I21" s="11">
        <v>0.2</v>
      </c>
      <c r="J21" s="11">
        <v>0.2</v>
      </c>
      <c r="K21" s="11">
        <v>0.2</v>
      </c>
      <c r="L21" s="11">
        <v>0.2</v>
      </c>
      <c r="M21" s="11">
        <v>0.2</v>
      </c>
      <c r="N21" s="11">
        <v>0.2</v>
      </c>
      <c r="O21" s="11">
        <v>0.2</v>
      </c>
      <c r="P21" s="11">
        <v>0.2</v>
      </c>
      <c r="Q21" s="11">
        <v>0.2</v>
      </c>
    </row>
    <row r="23" spans="1:20" x14ac:dyDescent="0.2">
      <c r="B23" s="7" t="s">
        <v>28</v>
      </c>
      <c r="S23" s="4" t="s">
        <v>61</v>
      </c>
      <c r="T23" s="3">
        <f>Main!$O$4/Model!T19</f>
        <v>1.3336841783402149</v>
      </c>
    </row>
    <row r="24" spans="1:20" x14ac:dyDescent="0.2">
      <c r="B24" s="4" t="s">
        <v>4</v>
      </c>
      <c r="C24" s="4">
        <v>36892</v>
      </c>
    </row>
    <row r="25" spans="1:20" x14ac:dyDescent="0.2">
      <c r="B25" s="4" t="s">
        <v>12</v>
      </c>
      <c r="C25" s="4">
        <v>305501</v>
      </c>
      <c r="S25" s="4" t="s">
        <v>62</v>
      </c>
      <c r="T25" s="4">
        <f>T19/Main!O3</f>
        <v>367.4033237837541</v>
      </c>
    </row>
    <row r="26" spans="1:20" x14ac:dyDescent="0.2">
      <c r="B26" s="4" t="s">
        <v>13</v>
      </c>
      <c r="C26" s="4">
        <f>15035+263735</f>
        <v>278770</v>
      </c>
    </row>
    <row r="27" spans="1:20" x14ac:dyDescent="0.2">
      <c r="B27" s="4" t="s">
        <v>14</v>
      </c>
      <c r="C27" s="4">
        <v>31144</v>
      </c>
    </row>
    <row r="28" spans="1:20" x14ac:dyDescent="0.2">
      <c r="B28" s="4" t="s">
        <v>15</v>
      </c>
      <c r="C28" s="4">
        <v>28131</v>
      </c>
    </row>
    <row r="29" spans="1:20" x14ac:dyDescent="0.2">
      <c r="B29" s="4" t="s">
        <v>16</v>
      </c>
      <c r="C29" s="4">
        <v>47401</v>
      </c>
    </row>
    <row r="30" spans="1:20" x14ac:dyDescent="0.2">
      <c r="B30" s="4" t="s">
        <v>17</v>
      </c>
      <c r="C30" s="4">
        <v>24034</v>
      </c>
    </row>
    <row r="31" spans="1:20" x14ac:dyDescent="0.2">
      <c r="B31" s="4" t="s">
        <v>18</v>
      </c>
      <c r="C31" s="4">
        <v>30215</v>
      </c>
    </row>
    <row r="32" spans="1:20" x14ac:dyDescent="0.2">
      <c r="B32" s="4" t="s">
        <v>19</v>
      </c>
      <c r="C32" s="4">
        <v>17984</v>
      </c>
    </row>
    <row r="33" spans="1:3" x14ac:dyDescent="0.2">
      <c r="B33" s="4" t="s">
        <v>20</v>
      </c>
      <c r="C33" s="4">
        <v>56974</v>
      </c>
    </row>
    <row r="34" spans="1:3" x14ac:dyDescent="0.2">
      <c r="B34" s="4" t="s">
        <v>21</v>
      </c>
      <c r="C34" s="4">
        <v>34331</v>
      </c>
    </row>
    <row r="35" spans="1:3" x14ac:dyDescent="0.2">
      <c r="B35" s="4" t="s">
        <v>22</v>
      </c>
      <c r="C35" s="4">
        <v>8628</v>
      </c>
    </row>
    <row r="36" spans="1:3" x14ac:dyDescent="0.2">
      <c r="B36" s="4" t="s">
        <v>23</v>
      </c>
      <c r="C36" s="4">
        <v>25291</v>
      </c>
    </row>
    <row r="37" spans="1:3" x14ac:dyDescent="0.2">
      <c r="B37" s="7" t="s">
        <v>24</v>
      </c>
    </row>
    <row r="38" spans="1:3" x14ac:dyDescent="0.2">
      <c r="B38" s="4" t="s">
        <v>4</v>
      </c>
      <c r="C38" s="4">
        <v>5288</v>
      </c>
    </row>
    <row r="39" spans="1:3" x14ac:dyDescent="0.2">
      <c r="B39" s="4" t="s">
        <v>25</v>
      </c>
      <c r="C39" s="4">
        <v>4291</v>
      </c>
    </row>
    <row r="40" spans="1:3" x14ac:dyDescent="0.2">
      <c r="B40" s="4" t="s">
        <v>18</v>
      </c>
      <c r="C40" s="4">
        <v>176559</v>
      </c>
    </row>
    <row r="41" spans="1:3" x14ac:dyDescent="0.2">
      <c r="B41" s="4" t="s">
        <v>20</v>
      </c>
      <c r="C41" s="4">
        <v>27033</v>
      </c>
    </row>
    <row r="42" spans="1:3" x14ac:dyDescent="0.2">
      <c r="B42" s="4" t="s">
        <v>26</v>
      </c>
      <c r="C42" s="4">
        <v>5299</v>
      </c>
    </row>
    <row r="43" spans="1:3" x14ac:dyDescent="0.2">
      <c r="B43" s="4" t="s">
        <v>23</v>
      </c>
      <c r="C43" s="4">
        <v>20766</v>
      </c>
    </row>
    <row r="44" spans="1:3" s="8" customFormat="1" x14ac:dyDescent="0.2">
      <c r="A44" s="4"/>
      <c r="B44" s="8" t="s">
        <v>27</v>
      </c>
      <c r="C44" s="8">
        <f>SUM(C23:C43)</f>
        <v>1164532</v>
      </c>
    </row>
    <row r="46" spans="1:3" x14ac:dyDescent="0.2">
      <c r="B46" s="7" t="s">
        <v>28</v>
      </c>
    </row>
    <row r="47" spans="1:3" x14ac:dyDescent="0.2">
      <c r="B47" s="4" t="s">
        <v>29</v>
      </c>
      <c r="C47" s="4">
        <f>117123+31974</f>
        <v>149097</v>
      </c>
    </row>
    <row r="48" spans="1:3" x14ac:dyDescent="0.2">
      <c r="B48" s="4" t="s">
        <v>30</v>
      </c>
      <c r="C48" s="4">
        <v>32306</v>
      </c>
    </row>
    <row r="49" spans="1:3" x14ac:dyDescent="0.2">
      <c r="B49" s="4" t="s">
        <v>31</v>
      </c>
      <c r="C49" s="4">
        <v>17734</v>
      </c>
    </row>
    <row r="50" spans="1:3" x14ac:dyDescent="0.2">
      <c r="B50" s="4" t="s">
        <v>32</v>
      </c>
      <c r="C50" s="4">
        <v>10782</v>
      </c>
    </row>
    <row r="51" spans="1:3" x14ac:dyDescent="0.2">
      <c r="B51" s="4" t="s">
        <v>33</v>
      </c>
      <c r="C51" s="4">
        <v>37090</v>
      </c>
    </row>
    <row r="52" spans="1:3" x14ac:dyDescent="0.2">
      <c r="B52" s="4" t="s">
        <v>34</v>
      </c>
      <c r="C52" s="4">
        <v>14380</v>
      </c>
    </row>
    <row r="53" spans="1:3" x14ac:dyDescent="0.2">
      <c r="B53" s="4" t="s">
        <v>35</v>
      </c>
      <c r="C53" s="4">
        <v>9509</v>
      </c>
    </row>
    <row r="54" spans="1:3" x14ac:dyDescent="0.2">
      <c r="B54" s="4" t="s">
        <v>36</v>
      </c>
      <c r="C54" s="4">
        <v>44461</v>
      </c>
    </row>
    <row r="55" spans="1:3" x14ac:dyDescent="0.2">
      <c r="B55" s="7" t="s">
        <v>24</v>
      </c>
    </row>
    <row r="56" spans="1:3" x14ac:dyDescent="0.2">
      <c r="B56" s="4" t="s">
        <v>33</v>
      </c>
      <c r="C56" s="4">
        <v>17916</v>
      </c>
    </row>
    <row r="57" spans="1:3" x14ac:dyDescent="0.2">
      <c r="B57" s="4" t="s">
        <v>37</v>
      </c>
      <c r="C57" s="4">
        <v>7047</v>
      </c>
    </row>
    <row r="58" spans="1:3" x14ac:dyDescent="0.2">
      <c r="B58" s="4" t="s">
        <v>36</v>
      </c>
      <c r="C58" s="4">
        <v>81466</v>
      </c>
    </row>
    <row r="59" spans="1:3" s="8" customFormat="1" x14ac:dyDescent="0.2">
      <c r="A59" s="4"/>
      <c r="B59" s="8" t="s">
        <v>38</v>
      </c>
      <c r="C59" s="8">
        <f>SUM(C47:C58)</f>
        <v>421788</v>
      </c>
    </row>
    <row r="61" spans="1:3" x14ac:dyDescent="0.2">
      <c r="B61" s="4" t="s">
        <v>39</v>
      </c>
      <c r="C61" s="4">
        <f>C44-C59</f>
        <v>742744</v>
      </c>
    </row>
    <row r="62" spans="1:3" x14ac:dyDescent="0.2">
      <c r="B62" s="4" t="s">
        <v>40</v>
      </c>
      <c r="C62" s="4">
        <f>C61-C41-SUM(C33:C35)</f>
        <v>615778</v>
      </c>
    </row>
    <row r="64" spans="1:3" x14ac:dyDescent="0.2">
      <c r="B64" s="4" t="s">
        <v>41</v>
      </c>
      <c r="C64" s="3">
        <f>Main!$O$4/Model!C61</f>
        <v>1.4232314229398018</v>
      </c>
    </row>
    <row r="65" spans="2:3" x14ac:dyDescent="0.2">
      <c r="B65" s="4" t="s">
        <v>42</v>
      </c>
      <c r="C65" s="3">
        <f>Main!$O$4/Model!C62</f>
        <v>1.7166845843794356</v>
      </c>
    </row>
  </sheetData>
  <hyperlinks>
    <hyperlink ref="A1" location="Main!A1" display="Main" xr:uid="{4D0467D7-1FC5-477E-AE6E-D78928C446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2025-06-01T05:00:38Z</dcterms:created>
  <dcterms:modified xsi:type="dcterms:W3CDTF">2025-06-17T02:44:10Z</dcterms:modified>
</cp:coreProperties>
</file>