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3F68E00-54E3-40DE-8EC5-1464F4912BE1}" xr6:coauthVersionLast="47" xr6:coauthVersionMax="47" xr10:uidLastSave="{00000000-0000-0000-0000-000000000000}"/>
  <bookViews>
    <workbookView xWindow="2295" yWindow="285" windowWidth="21945" windowHeight="14610" xr2:uid="{84B91150-D63F-434F-B036-DDB9093FB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R16" i="2"/>
  <c r="S16" i="2"/>
  <c r="T16" i="2"/>
  <c r="P16" i="2"/>
  <c r="P20" i="2"/>
  <c r="P21" i="2" s="1"/>
  <c r="Q19" i="2"/>
  <c r="R19" i="2"/>
  <c r="S19" i="2" s="1"/>
  <c r="P19" i="2"/>
  <c r="P8" i="2"/>
  <c r="Q8" i="2" s="1"/>
  <c r="R8" i="2" s="1"/>
  <c r="P7" i="2"/>
  <c r="Q7" i="2" s="1"/>
  <c r="P9" i="2"/>
  <c r="P3" i="2"/>
  <c r="Q3" i="2" s="1"/>
  <c r="P4" i="2"/>
  <c r="Q4" i="2" s="1"/>
  <c r="R4" i="2" s="1"/>
  <c r="S4" i="2" s="1"/>
  <c r="T4" i="2" s="1"/>
  <c r="Q6" i="2"/>
  <c r="R6" i="2" s="1"/>
  <c r="S6" i="2" s="1"/>
  <c r="T6" i="2" s="1"/>
  <c r="O6" i="2"/>
  <c r="P33" i="2"/>
  <c r="O33" i="2"/>
  <c r="N9" i="2"/>
  <c r="O9" i="2"/>
  <c r="O5" i="2"/>
  <c r="N5" i="2"/>
  <c r="N6" i="2" s="1"/>
  <c r="P18" i="2" l="1"/>
  <c r="Q9" i="2"/>
  <c r="Q18" i="2" s="1"/>
  <c r="R7" i="2"/>
  <c r="S7" i="2" s="1"/>
  <c r="T19" i="2"/>
  <c r="Q20" i="2"/>
  <c r="R20" i="2" s="1"/>
  <c r="S20" i="2" s="1"/>
  <c r="T20" i="2" s="1"/>
  <c r="Q15" i="2"/>
  <c r="R21" i="2"/>
  <c r="S8" i="2"/>
  <c r="T8" i="2" s="1"/>
  <c r="R9" i="2"/>
  <c r="R18" i="2" s="1"/>
  <c r="T7" i="2"/>
  <c r="T9" i="2" s="1"/>
  <c r="T18" i="2" s="1"/>
  <c r="S9" i="2"/>
  <c r="S18" i="2" s="1"/>
  <c r="P5" i="2"/>
  <c r="R3" i="2"/>
  <c r="Q5" i="2"/>
  <c r="Q33" i="2"/>
  <c r="P49" i="2"/>
  <c r="Q49" i="2" s="1"/>
  <c r="R49" i="2" s="1"/>
  <c r="S49" i="2" s="1"/>
  <c r="T49" i="2" s="1"/>
  <c r="N58" i="2"/>
  <c r="N60" i="2" s="1"/>
  <c r="O58" i="2"/>
  <c r="O60" i="2" s="1"/>
  <c r="M58" i="2"/>
  <c r="M60" i="2" s="1"/>
  <c r="O41" i="2"/>
  <c r="O39" i="2" s="1"/>
  <c r="P23" i="2" s="1"/>
  <c r="O32" i="2"/>
  <c r="N32" i="2"/>
  <c r="O31" i="2"/>
  <c r="N31" i="2"/>
  <c r="N21" i="2"/>
  <c r="O21" i="2"/>
  <c r="M21" i="2"/>
  <c r="N18" i="2"/>
  <c r="O18" i="2"/>
  <c r="M18" i="2"/>
  <c r="N17" i="2"/>
  <c r="N36" i="2" s="1"/>
  <c r="O17" i="2"/>
  <c r="O36" i="2" s="1"/>
  <c r="M17" i="2"/>
  <c r="N14" i="2"/>
  <c r="O14" i="2"/>
  <c r="M14" i="2"/>
  <c r="K2" i="2"/>
  <c r="L2" i="2" s="1"/>
  <c r="M2" i="2" s="1"/>
  <c r="N2" i="2" s="1"/>
  <c r="O2" i="2" s="1"/>
  <c r="P2" i="2" s="1"/>
  <c r="Q2" i="2" s="1"/>
  <c r="R2" i="2" s="1"/>
  <c r="S2" i="2" s="1"/>
  <c r="T2" i="2" s="1"/>
  <c r="N6" i="1"/>
  <c r="N4" i="1"/>
  <c r="N7" i="1" s="1"/>
  <c r="P14" i="2" l="1"/>
  <c r="P15" i="2"/>
  <c r="P17" i="2" s="1"/>
  <c r="Q17" i="2"/>
  <c r="Q14" i="2"/>
  <c r="Q21" i="2"/>
  <c r="S21" i="2"/>
  <c r="T21" i="2"/>
  <c r="N37" i="2"/>
  <c r="M37" i="2"/>
  <c r="S3" i="2"/>
  <c r="R33" i="2"/>
  <c r="R5" i="2"/>
  <c r="O37" i="2"/>
  <c r="N30" i="2"/>
  <c r="P32" i="2"/>
  <c r="Q31" i="2"/>
  <c r="O30" i="2"/>
  <c r="P31" i="2"/>
  <c r="M35" i="2"/>
  <c r="M36" i="2"/>
  <c r="M22" i="2"/>
  <c r="M24" i="2" s="1"/>
  <c r="O35" i="2"/>
  <c r="O22" i="2"/>
  <c r="O24" i="2" s="1"/>
  <c r="N22" i="2"/>
  <c r="N24" i="2" s="1"/>
  <c r="N35" i="2"/>
  <c r="R14" i="2" l="1"/>
  <c r="R15" i="2"/>
  <c r="R17" i="2" s="1"/>
  <c r="S5" i="2"/>
  <c r="T3" i="2"/>
  <c r="S33" i="2"/>
  <c r="Q30" i="2"/>
  <c r="P30" i="2"/>
  <c r="Q32" i="2"/>
  <c r="N26" i="2"/>
  <c r="N46" i="2" s="1"/>
  <c r="O26" i="2"/>
  <c r="O46" i="2" s="1"/>
  <c r="M26" i="2"/>
  <c r="M46" i="2" s="1"/>
  <c r="R31" i="2"/>
  <c r="S14" i="2" l="1"/>
  <c r="S15" i="2"/>
  <c r="S17" i="2" s="1"/>
  <c r="T33" i="2"/>
  <c r="T5" i="2"/>
  <c r="T31" i="2"/>
  <c r="P48" i="2"/>
  <c r="Q48" i="2" s="1"/>
  <c r="P59" i="2"/>
  <c r="Q59" i="2" s="1"/>
  <c r="R32" i="2"/>
  <c r="S31" i="2"/>
  <c r="P35" i="2"/>
  <c r="P22" i="2"/>
  <c r="P24" i="2" s="1"/>
  <c r="T14" i="2" l="1"/>
  <c r="T15" i="2"/>
  <c r="T17" i="2" s="1"/>
  <c r="P25" i="2"/>
  <c r="P26" i="2" s="1"/>
  <c r="S32" i="2"/>
  <c r="R30" i="2"/>
  <c r="R59" i="2" s="1"/>
  <c r="S30" i="2"/>
  <c r="Q22" i="2"/>
  <c r="Q35" i="2"/>
  <c r="P46" i="2" l="1"/>
  <c r="P58" i="2" s="1"/>
  <c r="P60" i="2" s="1"/>
  <c r="P39" i="2"/>
  <c r="Q23" i="2" s="1"/>
  <c r="Q24" i="2" s="1"/>
  <c r="P27" i="2"/>
  <c r="R48" i="2"/>
  <c r="T32" i="2"/>
  <c r="S59" i="2"/>
  <c r="S48" i="2"/>
  <c r="R22" i="2"/>
  <c r="R35" i="2"/>
  <c r="S22" i="2"/>
  <c r="S35" i="2"/>
  <c r="Q25" i="2" l="1"/>
  <c r="Q26" i="2" s="1"/>
  <c r="T30" i="2"/>
  <c r="T59" i="2" s="1"/>
  <c r="T35" i="2"/>
  <c r="T22" i="2"/>
  <c r="Q39" i="2" l="1"/>
  <c r="R23" i="2" s="1"/>
  <c r="R24" i="2" s="1"/>
  <c r="Q27" i="2"/>
  <c r="Q46" i="2"/>
  <c r="Q58" i="2" s="1"/>
  <c r="Q60" i="2" s="1"/>
  <c r="R25" i="2"/>
  <c r="R26" i="2" s="1"/>
  <c r="T48" i="2"/>
  <c r="R46" i="2" l="1"/>
  <c r="R58" i="2" s="1"/>
  <c r="R60" i="2" s="1"/>
  <c r="R39" i="2"/>
  <c r="S23" i="2" s="1"/>
  <c r="S24" i="2" s="1"/>
  <c r="R27" i="2"/>
  <c r="S25" i="2" l="1"/>
  <c r="S26" i="2" s="1"/>
  <c r="S46" i="2" l="1"/>
  <c r="S58" i="2" s="1"/>
  <c r="S60" i="2" s="1"/>
  <c r="S39" i="2"/>
  <c r="T23" i="2" s="1"/>
  <c r="T24" i="2" s="1"/>
  <c r="S27" i="2"/>
  <c r="T25" i="2" l="1"/>
  <c r="T26" i="2" s="1"/>
  <c r="U26" i="2" l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T46" i="2"/>
  <c r="T58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W53" i="2" s="1"/>
  <c r="W54" i="2" s="1"/>
  <c r="W55" i="2" s="1"/>
  <c r="T27" i="2"/>
  <c r="T39" i="2"/>
</calcChain>
</file>

<file path=xl/sharedStrings.xml><?xml version="1.0" encoding="utf-8"?>
<sst xmlns="http://schemas.openxmlformats.org/spreadsheetml/2006/main" count="75" uniqueCount="67">
  <si>
    <t>Price</t>
  </si>
  <si>
    <t>Shares</t>
  </si>
  <si>
    <t>MC</t>
  </si>
  <si>
    <t>Cash</t>
  </si>
  <si>
    <t>Debt</t>
  </si>
  <si>
    <t>EV</t>
  </si>
  <si>
    <t>Q425</t>
  </si>
  <si>
    <t>Main</t>
  </si>
  <si>
    <t>Revenue</t>
  </si>
  <si>
    <t>Q125</t>
  </si>
  <si>
    <t>Q225</t>
  </si>
  <si>
    <t>Q325</t>
  </si>
  <si>
    <t>Q126</t>
  </si>
  <si>
    <t>Q226</t>
  </si>
  <si>
    <t>Products</t>
  </si>
  <si>
    <t>Services</t>
  </si>
  <si>
    <t>Operating Income</t>
  </si>
  <si>
    <t>SG&amp;A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</si>
  <si>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</si>
  <si>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</si>
  <si>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</si>
  <si>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</si>
  <si>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</si>
  <si>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</si>
  <si>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</si>
  <si>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</si>
  <si>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Model NI</t>
  </si>
  <si>
    <t>Reported NI</t>
  </si>
  <si>
    <t>Net Cash</t>
  </si>
  <si>
    <t>ST Investments</t>
  </si>
  <si>
    <t xml:space="preserve"> </t>
  </si>
  <si>
    <t>Gross Margin</t>
  </si>
  <si>
    <t>Products y/y</t>
  </si>
  <si>
    <t>Services y/y</t>
  </si>
  <si>
    <t>ROIC</t>
  </si>
  <si>
    <t>Maturity</t>
  </si>
  <si>
    <t>Discount</t>
  </si>
  <si>
    <t>NPV</t>
  </si>
  <si>
    <t>Diff</t>
  </si>
  <si>
    <t>OPEX Margin</t>
  </si>
  <si>
    <t>D&amp;A</t>
  </si>
  <si>
    <t>SB Comp</t>
  </si>
  <si>
    <t>DIT</t>
  </si>
  <si>
    <t>Other</t>
  </si>
  <si>
    <t>AR</t>
  </si>
  <si>
    <t>Finance Receivables</t>
  </si>
  <si>
    <t>Inventories</t>
  </si>
  <si>
    <t>Other A&amp;L</t>
  </si>
  <si>
    <t>AP</t>
  </si>
  <si>
    <t>DR</t>
  </si>
  <si>
    <t>CFFO</t>
  </si>
  <si>
    <t>CAPEX</t>
  </si>
  <si>
    <t>FCF</t>
  </si>
  <si>
    <t>ISG Rev</t>
  </si>
  <si>
    <t>Storage</t>
  </si>
  <si>
    <t>Servers &amp; Networking</t>
  </si>
  <si>
    <t>Commercial</t>
  </si>
  <si>
    <t>Consumer</t>
  </si>
  <si>
    <t>CSG Rev</t>
  </si>
  <si>
    <t>Servers y/y</t>
  </si>
  <si>
    <t>ISG Operating Margin</t>
  </si>
  <si>
    <t>ISG COGS</t>
  </si>
  <si>
    <t>CSG COGS</t>
  </si>
  <si>
    <t>ISG GP</t>
  </si>
  <si>
    <t>CSG GP</t>
  </si>
  <si>
    <t>CSG GM</t>
  </si>
  <si>
    <t>CSG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</si>
</sst>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9" fontId="3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47625</xdr:rowOff>
    </xdr:from>
    <xdr:to>
      <xdr:col>15</xdr:col>
      <xdr:colOff>9525</xdr:colOff>
      <xdr:row>82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45D366-1002-3028-7112-AB139095438B}"/>
            </a:ext>
          </a:extLst>
        </xdr:cNvPr>
        <xdr:cNvCxnSpPr/>
      </xdr:nvCxnSpPr>
      <xdr:spPr>
        <a:xfrm>
          <a:off x="10591800" y="47625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</xdr:row>
      <xdr:rowOff>19050</xdr:rowOff>
    </xdr:from>
    <xdr:to>
      <xdr:col>6</xdr:col>
      <xdr:colOff>28575</xdr:colOff>
      <xdr:row>82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22F40B2-00C5-4C65-86FA-04B02BF5E378}"/>
            </a:ext>
          </a:extLst>
        </xdr:cNvPr>
        <xdr:cNvCxnSpPr/>
      </xdr:nvCxnSpPr>
      <xdr:spPr>
        <a:xfrm>
          <a:off x="4438650" y="19050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79DF-B8F5-42A4-8D3B-3D8DFA19C319}">
  <dimension ref="A1:O7"/>
  <sheetViews>
    <sheetView tabSelected="1" zoomScale="115" zoomScaleNormal="115" workbookViewId="0">
      <selection activeCell="M2" sqref="M2"/>
    </sheetView>
  </sheetViews>
  <sheetFormatPr defaultRowHeight="12.75" x14ac:dyDescent="0.2"/>
  <cols>
    <col min="1" max="16384" width="9" style="14"/>
  </cols>
  <sheetData>
    <row r="1" spans="1:15" x14ac:dyDescent="0.2">
      <c r="A1" s="13"/>
    </row>
    <row r="2" spans="1:15" x14ac:dyDescent="0.2">
      <c r="M2" s="14" t="s">
        <v>0</v>
      </c>
      <c r="N2" s="7">
        <v>114</v>
      </c>
    </row>
    <row r="3" spans="1:15" x14ac:dyDescent="0.2">
      <c r="M3" s="14" t="s">
        <v>1</v>
      </c>
      <c r="N3" s="2">
        <v>697.84079999999994</v>
      </c>
      <c r="O3" s="14" t="s">
        <v>6</v>
      </c>
    </row>
    <row r="4" spans="1:15" x14ac:dyDescent="0.2">
      <c r="M4" s="14" t="s">
        <v>2</v>
      </c>
      <c r="N4" s="2">
        <f>N2*N3</f>
        <v>79553.85119999999</v>
      </c>
    </row>
    <row r="5" spans="1:15" x14ac:dyDescent="0.2">
      <c r="M5" s="14" t="s">
        <v>3</v>
      </c>
      <c r="N5" s="2">
        <v>3633</v>
      </c>
      <c r="O5" s="14" t="s">
        <v>6</v>
      </c>
    </row>
    <row r="6" spans="1:15" x14ac:dyDescent="0.2">
      <c r="M6" s="14" t="s">
        <v>4</v>
      </c>
      <c r="N6" s="2">
        <f>19363+12292+2951</f>
        <v>34606</v>
      </c>
      <c r="O6" s="14" t="s">
        <v>6</v>
      </c>
    </row>
    <row r="7" spans="1:15" x14ac:dyDescent="0.2">
      <c r="M7" s="14" t="s">
        <v>5</v>
      </c>
      <c r="N7" s="2">
        <f>N4+N6-N5</f>
        <v>110526.85119999999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BDA-91B0-4CCE-9648-B41E0208AF0D}">
  <dimension ref="A1:DN60"/>
  <sheetViews>
    <sheetView zoomScale="130" zoomScaleNormal="130" workbookViewId="0">
      <pane xSplit="2" ySplit="2" topLeftCell="N33" activePane="bottomRight" state="frozen"/>
      <selection pane="topRight" activeCell="C1" sqref="C1"/>
      <selection pane="bottomLeft" activeCell="A2" sqref="A2"/>
      <selection pane="bottomRight" activeCell="W52" sqref="W52"/>
    </sheetView>
  </sheetViews>
  <sheetFormatPr defaultRowHeight="12.75" x14ac:dyDescent="0.2"/>
  <cols>
    <col min="1" max="1" width="4.625" style="2" customWidth="1"/>
    <col min="2" max="2" width="20.25" style="2" customWidth="1"/>
    <col min="3" max="16384" width="9" style="2"/>
  </cols>
  <sheetData>
    <row r="1" spans="1:20" x14ac:dyDescent="0.2">
      <c r="A1" s="1" t="s">
        <v>7</v>
      </c>
    </row>
    <row r="2" spans="1:20" x14ac:dyDescent="0.2">
      <c r="C2" s="2" t="s">
        <v>9</v>
      </c>
      <c r="D2" s="2" t="s">
        <v>10</v>
      </c>
      <c r="E2" s="2" t="s">
        <v>11</v>
      </c>
      <c r="F2" s="2" t="s">
        <v>6</v>
      </c>
      <c r="G2" s="2" t="s">
        <v>12</v>
      </c>
      <c r="H2" s="2" t="s">
        <v>13</v>
      </c>
      <c r="J2" s="3">
        <v>2020</v>
      </c>
      <c r="K2" s="3">
        <f>J2+1</f>
        <v>2021</v>
      </c>
      <c r="L2" s="3">
        <f t="shared" ref="L2:T2" si="0">K2+1</f>
        <v>2022</v>
      </c>
      <c r="M2" s="3">
        <f t="shared" si="0"/>
        <v>2023</v>
      </c>
      <c r="N2" s="3">
        <f t="shared" si="0"/>
        <v>2024</v>
      </c>
      <c r="O2" s="3">
        <f t="shared" si="0"/>
        <v>2025</v>
      </c>
      <c r="P2" s="3">
        <f t="shared" si="0"/>
        <v>2026</v>
      </c>
      <c r="Q2" s="3">
        <f t="shared" si="0"/>
        <v>2027</v>
      </c>
      <c r="R2" s="3">
        <f t="shared" si="0"/>
        <v>2028</v>
      </c>
      <c r="S2" s="3">
        <f t="shared" si="0"/>
        <v>2029</v>
      </c>
      <c r="T2" s="3">
        <f t="shared" si="0"/>
        <v>2030</v>
      </c>
    </row>
    <row r="3" spans="1:20" s="4" customFormat="1" x14ac:dyDescent="0.2">
      <c r="A3" s="1"/>
      <c r="B3" s="4" t="s">
        <v>55</v>
      </c>
      <c r="J3" s="5"/>
      <c r="K3" s="5"/>
      <c r="L3" s="5"/>
      <c r="N3" s="4">
        <v>17624</v>
      </c>
      <c r="O3" s="4">
        <v>27136</v>
      </c>
      <c r="P3" s="4">
        <f>O3*1.2</f>
        <v>32563.199999999997</v>
      </c>
      <c r="Q3" s="4">
        <f t="shared" ref="Q3:T3" si="1">P3*1.2</f>
        <v>39075.839999999997</v>
      </c>
      <c r="R3" s="4">
        <f t="shared" si="1"/>
        <v>46891.007999999994</v>
      </c>
      <c r="S3" s="4">
        <f t="shared" si="1"/>
        <v>56269.209599999995</v>
      </c>
      <c r="T3" s="4">
        <f t="shared" si="1"/>
        <v>67523.051519999994</v>
      </c>
    </row>
    <row r="4" spans="1:20" x14ac:dyDescent="0.2">
      <c r="A4" s="1"/>
      <c r="B4" s="2" t="s">
        <v>54</v>
      </c>
      <c r="J4" s="3"/>
      <c r="K4" s="3"/>
      <c r="L4" s="3"/>
      <c r="N4" s="2">
        <v>16261</v>
      </c>
      <c r="O4" s="2">
        <v>16457</v>
      </c>
      <c r="P4" s="2">
        <f>O4*1.01</f>
        <v>16621.57</v>
      </c>
      <c r="Q4" s="2">
        <f t="shared" ref="Q4:T4" si="2">P4*1.01</f>
        <v>16787.7857</v>
      </c>
      <c r="R4" s="2">
        <f t="shared" si="2"/>
        <v>16955.663557</v>
      </c>
      <c r="S4" s="2">
        <f t="shared" si="2"/>
        <v>17125.220192569999</v>
      </c>
      <c r="T4" s="2">
        <f t="shared" si="2"/>
        <v>17296.4723944957</v>
      </c>
    </row>
    <row r="5" spans="1:20" x14ac:dyDescent="0.2">
      <c r="A5" s="1"/>
      <c r="B5" s="2" t="s">
        <v>53</v>
      </c>
      <c r="J5" s="3"/>
      <c r="K5" s="3"/>
      <c r="L5" s="3"/>
      <c r="N5" s="2">
        <f>SUM(N3:N4)</f>
        <v>33885</v>
      </c>
      <c r="O5" s="2">
        <f>SUM(O3:O4)</f>
        <v>43593</v>
      </c>
      <c r="P5" s="2">
        <f t="shared" ref="P5:T5" si="3">SUM(P3:P4)</f>
        <v>49184.77</v>
      </c>
      <c r="Q5" s="2">
        <f t="shared" si="3"/>
        <v>55863.625699999997</v>
      </c>
      <c r="R5" s="2">
        <f t="shared" si="3"/>
        <v>63846.671556999994</v>
      </c>
      <c r="S5" s="2">
        <f t="shared" si="3"/>
        <v>73394.429792569994</v>
      </c>
      <c r="T5" s="2">
        <f t="shared" si="3"/>
        <v>84819.523914495687</v>
      </c>
    </row>
    <row r="6" spans="1:20" s="4" customFormat="1" x14ac:dyDescent="0.2">
      <c r="A6" s="1"/>
      <c r="B6" s="4" t="s">
        <v>60</v>
      </c>
      <c r="J6" s="5"/>
      <c r="K6" s="5"/>
      <c r="L6" s="5"/>
      <c r="N6" s="6">
        <f>4286/N5</f>
        <v>0.12648664600855836</v>
      </c>
      <c r="O6" s="6">
        <f>5579/O5</f>
        <v>0.12797926272566695</v>
      </c>
      <c r="P6" s="6">
        <v>0.125</v>
      </c>
      <c r="Q6" s="6">
        <f>P6*1.01</f>
        <v>0.12625</v>
      </c>
      <c r="R6" s="6">
        <f t="shared" ref="R6:T6" si="4">Q6*1.01</f>
        <v>0.1275125</v>
      </c>
      <c r="S6" s="6">
        <f t="shared" si="4"/>
        <v>0.12878762499999999</v>
      </c>
      <c r="T6" s="6">
        <f t="shared" si="4"/>
        <v>0.13007550125</v>
      </c>
    </row>
    <row r="7" spans="1:20" x14ac:dyDescent="0.2">
      <c r="A7" s="1"/>
      <c r="B7" s="2" t="s">
        <v>56</v>
      </c>
      <c r="J7" s="3"/>
      <c r="K7" s="3"/>
      <c r="L7" s="3"/>
      <c r="N7" s="2">
        <v>39814</v>
      </c>
      <c r="O7" s="2">
        <v>40844</v>
      </c>
      <c r="P7" s="2">
        <f>O7*1.02</f>
        <v>41660.879999999997</v>
      </c>
      <c r="Q7" s="2">
        <f t="shared" ref="Q7:T7" si="5">P7*1.02</f>
        <v>42494.097600000001</v>
      </c>
      <c r="R7" s="2">
        <f t="shared" si="5"/>
        <v>43343.979552000004</v>
      </c>
      <c r="S7" s="2">
        <f t="shared" si="5"/>
        <v>44210.859143040005</v>
      </c>
      <c r="T7" s="2">
        <f t="shared" si="5"/>
        <v>45095.076325900809</v>
      </c>
    </row>
    <row r="8" spans="1:20" x14ac:dyDescent="0.2">
      <c r="A8" s="1"/>
      <c r="B8" s="2" t="s">
        <v>57</v>
      </c>
      <c r="J8" s="3"/>
      <c r="K8" s="3"/>
      <c r="L8" s="3"/>
      <c r="N8" s="2">
        <v>9102</v>
      </c>
      <c r="O8" s="2">
        <v>7549</v>
      </c>
      <c r="P8" s="2">
        <f>O8*1.01</f>
        <v>7624.49</v>
      </c>
      <c r="Q8" s="2">
        <f t="shared" ref="Q8:T8" si="6">P8*1.01</f>
        <v>7700.7348999999995</v>
      </c>
      <c r="R8" s="2">
        <f t="shared" si="6"/>
        <v>7777.7422489999999</v>
      </c>
      <c r="S8" s="2">
        <f t="shared" si="6"/>
        <v>7855.5196714900003</v>
      </c>
      <c r="T8" s="2">
        <f t="shared" si="6"/>
        <v>7934.0748682049007</v>
      </c>
    </row>
    <row r="9" spans="1:20" x14ac:dyDescent="0.2">
      <c r="A9" s="1"/>
      <c r="B9" s="2" t="s">
        <v>58</v>
      </c>
      <c r="J9" s="3"/>
      <c r="K9" s="3"/>
      <c r="L9" s="3"/>
      <c r="N9" s="2">
        <f>SUM(N7:N8)</f>
        <v>48916</v>
      </c>
      <c r="O9" s="2">
        <f>SUM(O7:O8)</f>
        <v>48393</v>
      </c>
      <c r="P9" s="2">
        <f t="shared" ref="P9:T9" si="7">SUM(P7:P8)</f>
        <v>49285.369999999995</v>
      </c>
      <c r="Q9" s="2">
        <f t="shared" si="7"/>
        <v>50194.832500000004</v>
      </c>
      <c r="R9" s="2">
        <f t="shared" si="7"/>
        <v>51121.721801000007</v>
      </c>
      <c r="S9" s="2">
        <f t="shared" si="7"/>
        <v>52066.378814530006</v>
      </c>
      <c r="T9" s="2">
        <f t="shared" si="7"/>
        <v>53029.151194105711</v>
      </c>
    </row>
    <row r="10" spans="1:20" x14ac:dyDescent="0.2">
      <c r="A10" s="1"/>
      <c r="B10" s="2" t="s">
        <v>66</v>
      </c>
      <c r="J10" s="3"/>
      <c r="K10" s="3"/>
      <c r="L10" s="3"/>
      <c r="P10" s="10">
        <v>0.33</v>
      </c>
      <c r="Q10" s="10">
        <v>0.33</v>
      </c>
      <c r="R10" s="10">
        <v>0.33</v>
      </c>
      <c r="S10" s="10">
        <v>0.33</v>
      </c>
      <c r="T10" s="10">
        <v>0.33</v>
      </c>
    </row>
    <row r="11" spans="1:20" x14ac:dyDescent="0.2">
      <c r="A11" s="1"/>
      <c r="J11" s="3"/>
      <c r="K11" s="3"/>
      <c r="L11" s="3"/>
    </row>
    <row r="12" spans="1:20" x14ac:dyDescent="0.2">
      <c r="B12" s="2" t="s">
        <v>14</v>
      </c>
      <c r="M12" s="2">
        <v>79250</v>
      </c>
      <c r="N12" s="2">
        <v>64353</v>
      </c>
      <c r="O12" s="2">
        <v>71420</v>
      </c>
      <c r="P12" s="7"/>
    </row>
    <row r="13" spans="1:20" x14ac:dyDescent="0.2">
      <c r="B13" s="2" t="s">
        <v>15</v>
      </c>
      <c r="M13" s="2">
        <v>23051</v>
      </c>
      <c r="N13" s="2">
        <v>24072</v>
      </c>
      <c r="O13" s="2">
        <v>24147</v>
      </c>
    </row>
    <row r="14" spans="1:20" s="4" customFormat="1" x14ac:dyDescent="0.2">
      <c r="A14" s="2"/>
      <c r="B14" s="4" t="s">
        <v>8</v>
      </c>
      <c r="M14" s="4">
        <f>SUM(M12:M13)</f>
        <v>102301</v>
      </c>
      <c r="N14" s="4">
        <f t="shared" ref="N14:O14" si="8">SUM(N12:N13)</f>
        <v>88425</v>
      </c>
      <c r="O14" s="4">
        <f t="shared" si="8"/>
        <v>95567</v>
      </c>
      <c r="P14" s="4">
        <f>P5+P9</f>
        <v>98470.139999999985</v>
      </c>
      <c r="Q14" s="4">
        <f t="shared" ref="Q14:T14" si="9">Q5+Q9</f>
        <v>106058.45819999999</v>
      </c>
      <c r="R14" s="4">
        <f t="shared" si="9"/>
        <v>114968.393358</v>
      </c>
      <c r="S14" s="4">
        <f t="shared" si="9"/>
        <v>125460.8086071</v>
      </c>
      <c r="T14" s="4">
        <f t="shared" si="9"/>
        <v>137848.6751086014</v>
      </c>
    </row>
    <row r="15" spans="1:20" x14ac:dyDescent="0.2">
      <c r="B15" s="2" t="s">
        <v>61</v>
      </c>
      <c r="M15" s="2">
        <v>66029</v>
      </c>
      <c r="N15" s="2">
        <v>53116</v>
      </c>
      <c r="O15" s="2">
        <v>60162</v>
      </c>
      <c r="P15" s="2">
        <f>(1-P6)*P5</f>
        <v>43036.673749999994</v>
      </c>
      <c r="Q15" s="2">
        <f t="shared" ref="Q15:T15" si="10">(1-Q6)*Q5</f>
        <v>48810.842955374996</v>
      </c>
      <c r="R15" s="2">
        <f t="shared" si="10"/>
        <v>55705.422850088027</v>
      </c>
      <c r="S15" s="2">
        <f t="shared" si="10"/>
        <v>63942.135491355664</v>
      </c>
      <c r="T15" s="2">
        <f t="shared" si="10"/>
        <v>73786.581825531292</v>
      </c>
    </row>
    <row r="16" spans="1:20" x14ac:dyDescent="0.2">
      <c r="B16" s="2" t="s">
        <v>62</v>
      </c>
      <c r="M16" s="2">
        <v>13586</v>
      </c>
      <c r="N16" s="2">
        <v>14240</v>
      </c>
      <c r="O16" s="2">
        <v>14155</v>
      </c>
      <c r="P16" s="2">
        <f>(1-P10)*P9</f>
        <v>33021.197899999992</v>
      </c>
      <c r="Q16" s="2">
        <f t="shared" ref="Q16:T16" si="11">(1-Q10)*Q9</f>
        <v>33630.537774999997</v>
      </c>
      <c r="R16" s="2">
        <f t="shared" si="11"/>
        <v>34251.553606670001</v>
      </c>
      <c r="S16" s="2">
        <f t="shared" si="11"/>
        <v>34884.473805735099</v>
      </c>
      <c r="T16" s="2">
        <f t="shared" si="11"/>
        <v>35529.531300050825</v>
      </c>
    </row>
    <row r="17" spans="1:118" x14ac:dyDescent="0.2">
      <c r="B17" s="2" t="s">
        <v>63</v>
      </c>
      <c r="M17" s="2">
        <f>M12-M15</f>
        <v>13221</v>
      </c>
      <c r="N17" s="2">
        <f t="shared" ref="N17:O17" si="12">N12-N15</f>
        <v>11237</v>
      </c>
      <c r="O17" s="2">
        <f t="shared" si="12"/>
        <v>11258</v>
      </c>
      <c r="P17" s="2">
        <f>P5-P15</f>
        <v>6148.0962500000023</v>
      </c>
      <c r="Q17" s="2">
        <f t="shared" ref="Q17:T17" si="13">Q5-Q15</f>
        <v>7052.7827446250012</v>
      </c>
      <c r="R17" s="2">
        <f t="shared" si="13"/>
        <v>8141.248706911967</v>
      </c>
      <c r="S17" s="2">
        <f t="shared" si="13"/>
        <v>9452.2943012143296</v>
      </c>
      <c r="T17" s="2">
        <f t="shared" si="13"/>
        <v>11032.942088964395</v>
      </c>
    </row>
    <row r="18" spans="1:118" x14ac:dyDescent="0.2">
      <c r="B18" s="2" t="s">
        <v>64</v>
      </c>
      <c r="M18" s="2">
        <f>M13-M16</f>
        <v>9465</v>
      </c>
      <c r="N18" s="2">
        <f t="shared" ref="N18:O18" si="14">N13-N16</f>
        <v>9832</v>
      </c>
      <c r="O18" s="2">
        <f t="shared" si="14"/>
        <v>9992</v>
      </c>
      <c r="P18" s="2">
        <f>P9-P16</f>
        <v>16264.172100000003</v>
      </c>
      <c r="Q18" s="2">
        <f t="shared" ref="Q18:T18" si="15">Q9-Q16</f>
        <v>16564.294725000007</v>
      </c>
      <c r="R18" s="2">
        <f t="shared" si="15"/>
        <v>16870.168194330006</v>
      </c>
      <c r="S18" s="2">
        <f t="shared" si="15"/>
        <v>17181.905008794907</v>
      </c>
      <c r="T18" s="2">
        <f t="shared" si="15"/>
        <v>17499.619894054886</v>
      </c>
    </row>
    <row r="19" spans="1:118" x14ac:dyDescent="0.2">
      <c r="B19" s="2" t="s">
        <v>17</v>
      </c>
      <c r="M19" s="2">
        <v>14136</v>
      </c>
      <c r="N19" s="2">
        <v>12857</v>
      </c>
      <c r="O19" s="2">
        <v>11952</v>
      </c>
      <c r="P19" s="2">
        <f>O19*1.04</f>
        <v>12430.08</v>
      </c>
      <c r="Q19" s="2">
        <f t="shared" ref="Q19:T19" si="16">P19*1.04</f>
        <v>12927.2832</v>
      </c>
      <c r="R19" s="2">
        <f t="shared" si="16"/>
        <v>13444.374528</v>
      </c>
      <c r="S19" s="2">
        <f t="shared" si="16"/>
        <v>13982.149509120001</v>
      </c>
      <c r="T19" s="2">
        <f t="shared" si="16"/>
        <v>14541.435489484802</v>
      </c>
    </row>
    <row r="20" spans="1:118" x14ac:dyDescent="0.2">
      <c r="B20" s="2" t="s">
        <v>18</v>
      </c>
      <c r="M20" s="2">
        <v>2779</v>
      </c>
      <c r="N20" s="2">
        <v>2801</v>
      </c>
      <c r="O20" s="2">
        <v>3061</v>
      </c>
      <c r="P20" s="2">
        <f>O20*1.07</f>
        <v>3275.27</v>
      </c>
      <c r="Q20" s="2">
        <f t="shared" ref="Q20:T20" si="17">P20*1.07</f>
        <v>3504.5389</v>
      </c>
      <c r="R20" s="2">
        <f t="shared" si="17"/>
        <v>3749.8566230000001</v>
      </c>
      <c r="S20" s="2">
        <f t="shared" si="17"/>
        <v>4012.3465866100005</v>
      </c>
      <c r="T20" s="2">
        <f t="shared" si="17"/>
        <v>4293.2108476727008</v>
      </c>
    </row>
    <row r="21" spans="1:118" x14ac:dyDescent="0.2">
      <c r="B21" s="2" t="s">
        <v>19</v>
      </c>
      <c r="M21" s="2">
        <f>SUM(M19:M20)</f>
        <v>16915</v>
      </c>
      <c r="N21" s="2">
        <f t="shared" ref="N21:O21" si="18">SUM(N19:N20)</f>
        <v>15658</v>
      </c>
      <c r="O21" s="2">
        <f t="shared" si="18"/>
        <v>15013</v>
      </c>
      <c r="P21" s="2">
        <f>SUM(P19:P20)</f>
        <v>15705.35</v>
      </c>
      <c r="Q21" s="2">
        <f t="shared" ref="Q21:T21" si="19">SUM(Q19:Q20)</f>
        <v>16431.822100000001</v>
      </c>
      <c r="R21" s="2">
        <f t="shared" si="19"/>
        <v>17194.231151</v>
      </c>
      <c r="S21" s="2">
        <f t="shared" si="19"/>
        <v>17994.496095730003</v>
      </c>
      <c r="T21" s="2">
        <f t="shared" si="19"/>
        <v>18834.646337157501</v>
      </c>
    </row>
    <row r="22" spans="1:118" x14ac:dyDescent="0.2">
      <c r="B22" s="2" t="s">
        <v>16</v>
      </c>
      <c r="M22" s="2">
        <f>SUM(M17:M18)-M21</f>
        <v>5771</v>
      </c>
      <c r="N22" s="2">
        <f t="shared" ref="N22:T22" si="20">SUM(N17:N18)-N21</f>
        <v>5411</v>
      </c>
      <c r="O22" s="2">
        <f t="shared" si="20"/>
        <v>6237</v>
      </c>
      <c r="P22" s="2">
        <f t="shared" si="20"/>
        <v>6706.9183500000054</v>
      </c>
      <c r="Q22" s="2">
        <f t="shared" si="20"/>
        <v>7185.255369625007</v>
      </c>
      <c r="R22" s="2">
        <f t="shared" si="20"/>
        <v>7817.1857502419734</v>
      </c>
      <c r="S22" s="2">
        <f t="shared" si="20"/>
        <v>8639.7032142792341</v>
      </c>
      <c r="T22" s="2">
        <f t="shared" si="20"/>
        <v>9697.9156458617799</v>
      </c>
    </row>
    <row r="23" spans="1:118" x14ac:dyDescent="0.2">
      <c r="B23" s="2" t="s">
        <v>20</v>
      </c>
      <c r="M23" s="2">
        <v>-2546</v>
      </c>
      <c r="N23" s="2">
        <v>-1324</v>
      </c>
      <c r="O23" s="2">
        <v>-1189</v>
      </c>
      <c r="P23" s="2">
        <f>O39*$W$50</f>
        <v>-619.46</v>
      </c>
      <c r="Q23" s="2">
        <f>P39*$W$50</f>
        <v>-522.06066639999995</v>
      </c>
      <c r="R23" s="2">
        <f>Q39*$W$50</f>
        <v>-415.44955114839979</v>
      </c>
      <c r="S23" s="2">
        <f>R39*$W$50</f>
        <v>-297.02177196290262</v>
      </c>
      <c r="T23" s="2">
        <f>S39*$W$50</f>
        <v>-163.53886888584131</v>
      </c>
    </row>
    <row r="24" spans="1:118" x14ac:dyDescent="0.2">
      <c r="B24" s="2" t="s">
        <v>21</v>
      </c>
      <c r="M24" s="2">
        <f>M22+M23</f>
        <v>3225</v>
      </c>
      <c r="N24" s="2">
        <f t="shared" ref="N24:T24" si="21">N22+N23</f>
        <v>4087</v>
      </c>
      <c r="O24" s="2">
        <f t="shared" si="21"/>
        <v>5048</v>
      </c>
      <c r="P24" s="2">
        <f t="shared" si="21"/>
        <v>6087.4583500000053</v>
      </c>
      <c r="Q24" s="2">
        <f t="shared" si="21"/>
        <v>6663.1947032250073</v>
      </c>
      <c r="R24" s="2">
        <f t="shared" si="21"/>
        <v>7401.7361990935733</v>
      </c>
      <c r="S24" s="2">
        <f t="shared" si="21"/>
        <v>8342.6814423163323</v>
      </c>
      <c r="T24" s="2">
        <f t="shared" si="21"/>
        <v>9534.3767769759379</v>
      </c>
    </row>
    <row r="25" spans="1:118" x14ac:dyDescent="0.2">
      <c r="B25" s="2" t="s">
        <v>22</v>
      </c>
      <c r="M25" s="2">
        <v>803</v>
      </c>
      <c r="N25" s="2">
        <v>715</v>
      </c>
      <c r="O25" s="2">
        <v>472</v>
      </c>
      <c r="P25" s="2">
        <f>P24*0.2</f>
        <v>1217.491670000001</v>
      </c>
      <c r="Q25" s="2">
        <f t="shared" ref="Q25:T25" si="22">Q24*0.2</f>
        <v>1332.6389406450016</v>
      </c>
      <c r="R25" s="2">
        <f t="shared" si="22"/>
        <v>1480.3472398187148</v>
      </c>
      <c r="S25" s="2">
        <f t="shared" si="22"/>
        <v>1668.5362884632666</v>
      </c>
      <c r="T25" s="2">
        <f t="shared" si="22"/>
        <v>1906.8753553951876</v>
      </c>
    </row>
    <row r="26" spans="1:118" s="4" customFormat="1" x14ac:dyDescent="0.2">
      <c r="A26" s="2"/>
      <c r="B26" s="4" t="s">
        <v>23</v>
      </c>
      <c r="M26" s="4">
        <f>M24-M25</f>
        <v>2422</v>
      </c>
      <c r="N26" s="4">
        <f t="shared" ref="N26:T26" si="23">N24-N25</f>
        <v>3372</v>
      </c>
      <c r="O26" s="4">
        <f t="shared" si="23"/>
        <v>4576</v>
      </c>
      <c r="P26" s="4">
        <f t="shared" si="23"/>
        <v>4869.9666800000041</v>
      </c>
      <c r="Q26" s="4">
        <f t="shared" si="23"/>
        <v>5330.5557625800056</v>
      </c>
      <c r="R26" s="4">
        <f t="shared" si="23"/>
        <v>5921.3889592748583</v>
      </c>
      <c r="S26" s="4">
        <f t="shared" si="23"/>
        <v>6674.1451538530655</v>
      </c>
      <c r="T26" s="4">
        <f t="shared" si="23"/>
        <v>7627.5014215807505</v>
      </c>
      <c r="U26" s="4">
        <f>T26*(1+$W$51)</f>
        <v>7703.776435796558</v>
      </c>
      <c r="V26" s="4">
        <f>U26*(1+$W$51)</f>
        <v>7780.8142001545239</v>
      </c>
      <c r="W26" s="4">
        <f>V26*(1+$W$51)</f>
        <v>7858.622342156069</v>
      </c>
      <c r="X26" s="4">
        <f>W26*(1+$W$51)</f>
        <v>7937.20856557763</v>
      </c>
      <c r="Y26" s="4">
        <f>X26*(1+$W$51)</f>
        <v>8016.5806512334066</v>
      </c>
      <c r="Z26" s="4">
        <f>Y26*(1+$W$51)</f>
        <v>8096.7464577457404</v>
      </c>
      <c r="AA26" s="4">
        <f>Z26*(1+$W$51)</f>
        <v>8177.7139223231979</v>
      </c>
      <c r="AB26" s="4">
        <f>AA26*(1+$W$51)</f>
        <v>8259.4910615464305</v>
      </c>
      <c r="AC26" s="4">
        <f>AB26*(1+$W$51)</f>
        <v>8342.0859721618945</v>
      </c>
      <c r="AD26" s="4">
        <f>AC26*(1+$W$51)</f>
        <v>8425.5068318835129</v>
      </c>
      <c r="AE26" s="4">
        <f>AD26*(1+$W$51)</f>
        <v>8509.7619002023475</v>
      </c>
      <c r="AF26" s="4">
        <f>AE26*(1+$W$51)</f>
        <v>8594.8595192043704</v>
      </c>
      <c r="AG26" s="4">
        <f>AF26*(1+$W$51)</f>
        <v>8680.8081143964137</v>
      </c>
      <c r="AH26" s="4">
        <f>AG26*(1+$W$51)</f>
        <v>8767.6161955403786</v>
      </c>
      <c r="AI26" s="4">
        <f>AH26*(1+$W$51)</f>
        <v>8855.2923574957822</v>
      </c>
      <c r="AJ26" s="4">
        <f>AI26*(1+$W$51)</f>
        <v>8943.8452810707404</v>
      </c>
      <c r="AK26" s="4">
        <f>AJ26*(1+$W$51)</f>
        <v>9033.2837338814479</v>
      </c>
      <c r="AL26" s="4">
        <f>AK26*(1+$W$51)</f>
        <v>9123.6165712202619</v>
      </c>
      <c r="AM26" s="4">
        <f>AL26*(1+$W$51)</f>
        <v>9214.8527369324638</v>
      </c>
      <c r="AN26" s="4">
        <f>AM26*(1+$W$51)</f>
        <v>9307.001264301789</v>
      </c>
      <c r="AO26" s="4">
        <f>AN26*(1+$W$51)</f>
        <v>9400.0712769448073</v>
      </c>
      <c r="AP26" s="4">
        <f>AO26*(1+$W$51)</f>
        <v>9494.0719897142553</v>
      </c>
      <c r="AQ26" s="4">
        <f>AP26*(1+$W$51)</f>
        <v>9589.0127096113974</v>
      </c>
      <c r="AR26" s="4">
        <f>AQ26*(1+$W$51)</f>
        <v>9684.9028367075116</v>
      </c>
      <c r="AS26" s="4">
        <f>AR26*(1+$W$51)</f>
        <v>9781.751865074586</v>
      </c>
      <c r="AT26" s="4">
        <f>AS26*(1+$W$51)</f>
        <v>9879.5693837253311</v>
      </c>
      <c r="AU26" s="4">
        <f>AT26*(1+$W$51)</f>
        <v>9978.3650775625847</v>
      </c>
      <c r="AV26" s="4">
        <f>AU26*(1+$W$51)</f>
        <v>10078.14872833821</v>
      </c>
      <c r="AW26" s="4">
        <f>AV26*(1+$W$51)</f>
        <v>10178.930215621593</v>
      </c>
      <c r="AX26" s="4">
        <f>AW26*(1+$W$51)</f>
        <v>10280.719517777809</v>
      </c>
      <c r="AY26" s="4">
        <f>AX26*(1+$W$51)</f>
        <v>10383.526712955587</v>
      </c>
      <c r="AZ26" s="4">
        <f>AY26*(1+$W$51)</f>
        <v>10487.361980085143</v>
      </c>
      <c r="BA26" s="4">
        <f>AZ26*(1+$W$51)</f>
        <v>10592.235599885995</v>
      </c>
      <c r="BB26" s="4">
        <f>BA26*(1+$W$51)</f>
        <v>10698.157955884855</v>
      </c>
      <c r="BC26" s="4">
        <f>BB26*(1+$W$51)</f>
        <v>10805.139535443705</v>
      </c>
      <c r="BD26" s="4">
        <f>BC26*(1+$W$51)</f>
        <v>10913.190930798142</v>
      </c>
      <c r="BE26" s="4">
        <f>BD26*(1+$W$51)</f>
        <v>11022.322840106124</v>
      </c>
      <c r="BF26" s="4">
        <f>BE26*(1+$W$51)</f>
        <v>11132.546068507185</v>
      </c>
      <c r="BG26" s="4">
        <f>BF26*(1+$W$51)</f>
        <v>11243.871529192256</v>
      </c>
      <c r="BH26" s="4">
        <f>BG26*(1+$W$51)</f>
        <v>11356.310244484179</v>
      </c>
      <c r="BI26" s="4">
        <f>BH26*(1+$W$51)</f>
        <v>11469.87334692902</v>
      </c>
      <c r="BJ26" s="4">
        <f>BI26*(1+$W$51)</f>
        <v>11584.572080398309</v>
      </c>
      <c r="BK26" s="4">
        <f>BJ26*(1+$W$51)</f>
        <v>11700.417801202293</v>
      </c>
      <c r="BL26" s="4">
        <f>BK26*(1+$W$51)</f>
        <v>11817.421979214316</v>
      </c>
      <c r="BM26" s="4">
        <f>BL26*(1+$W$51)</f>
        <v>11935.596199006459</v>
      </c>
      <c r="BN26" s="4">
        <f>BM26*(1+$W$51)</f>
        <v>12054.952160996523</v>
      </c>
      <c r="BO26" s="4">
        <f>BN26*(1+$W$51)</f>
        <v>12175.501682606489</v>
      </c>
      <c r="BP26" s="4">
        <f>BO26*(1+$W$51)</f>
        <v>12297.256699432553</v>
      </c>
      <c r="BQ26" s="4">
        <f>BP26*(1+$W$51)</f>
        <v>12420.229266426879</v>
      </c>
      <c r="BR26" s="4">
        <f>BQ26*(1+$W$51)</f>
        <v>12544.431559091148</v>
      </c>
      <c r="BS26" s="4">
        <f>BR26*(1+$W$51)</f>
        <v>12669.87587468206</v>
      </c>
      <c r="BT26" s="4">
        <f>BS26*(1+$W$51)</f>
        <v>12796.574633428881</v>
      </c>
      <c r="BU26" s="4">
        <f>BT26*(1+$W$51)</f>
        <v>12924.54037976317</v>
      </c>
      <c r="BV26" s="4">
        <f>BU26*(1+$W$51)</f>
        <v>13053.785783560801</v>
      </c>
      <c r="BW26" s="4">
        <f>BV26*(1+$W$51)</f>
        <v>13184.32364139641</v>
      </c>
      <c r="BX26" s="4">
        <f>BW26*(1+$W$51)</f>
        <v>13316.166877810374</v>
      </c>
      <c r="BY26" s="4">
        <f>BX26*(1+$W$51)</f>
        <v>13449.328546588478</v>
      </c>
      <c r="BZ26" s="4">
        <f>BY26*(1+$W$51)</f>
        <v>13583.821832054364</v>
      </c>
      <c r="CA26" s="4">
        <f>BZ26*(1+$W$51)</f>
        <v>13719.660050374907</v>
      </c>
      <c r="CB26" s="4">
        <f>CA26*(1+$W$51)</f>
        <v>13856.856650878655</v>
      </c>
      <c r="CC26" s="4">
        <f>CB26*(1+$W$51)</f>
        <v>13995.425217387441</v>
      </c>
      <c r="CD26" s="4">
        <f>CC26*(1+$W$51)</f>
        <v>14135.379469561316</v>
      </c>
      <c r="CE26" s="4">
        <f>CD26*(1+$W$51)</f>
        <v>14276.733264256929</v>
      </c>
      <c r="CF26" s="4">
        <f>CE26*(1+$W$51)</f>
        <v>14419.500596899499</v>
      </c>
      <c r="CG26" s="4">
        <f>CF26*(1+$W$51)</f>
        <v>14563.695602868494</v>
      </c>
      <c r="CH26" s="4">
        <f>CG26*(1+$W$51)</f>
        <v>14709.33255889718</v>
      </c>
      <c r="CI26" s="4">
        <f>CH26*(1+$W$51)</f>
        <v>14856.425884486152</v>
      </c>
      <c r="CJ26" s="4">
        <f>CI26*(1+$W$51)</f>
        <v>15004.990143331013</v>
      </c>
      <c r="CK26" s="4">
        <f>CJ26*(1+$W$51)</f>
        <v>15155.040044764324</v>
      </c>
      <c r="CL26" s="4">
        <f>CK26*(1+$W$51)</f>
        <v>15306.590445211968</v>
      </c>
      <c r="CM26" s="4">
        <f>CL26*(1+$W$51)</f>
        <v>15459.656349664088</v>
      </c>
      <c r="CN26" s="4">
        <f>CM26*(1+$W$51)</f>
        <v>15614.25291316073</v>
      </c>
      <c r="CO26" s="4">
        <f>CN26*(1+$W$51)</f>
        <v>15770.395442292338</v>
      </c>
      <c r="CP26" s="4">
        <f>CO26*(1+$W$51)</f>
        <v>15928.099396715261</v>
      </c>
      <c r="CQ26" s="4">
        <f>CP26*(1+$W$51)</f>
        <v>16087.380390682414</v>
      </c>
      <c r="CR26" s="4">
        <f>CQ26*(1+$W$51)</f>
        <v>16248.254194589239</v>
      </c>
      <c r="CS26" s="4">
        <f>CR26*(1+$W$51)</f>
        <v>16410.736736535131</v>
      </c>
      <c r="CT26" s="4">
        <f>CS26*(1+$W$51)</f>
        <v>16574.844103900483</v>
      </c>
      <c r="CU26" s="4">
        <f>CT26*(1+$W$51)</f>
        <v>16740.592544939489</v>
      </c>
      <c r="CV26" s="4">
        <f>CU26*(1+$W$51)</f>
        <v>16907.998470388884</v>
      </c>
      <c r="CW26" s="4">
        <f>CV26*(1+$W$51)</f>
        <v>17077.078455092775</v>
      </c>
      <c r="CX26" s="4">
        <f>CW26*(1+$W$51)</f>
        <v>17247.849239643703</v>
      </c>
      <c r="CY26" s="4">
        <f>CX26*(1+$W$51)</f>
        <v>17420.327732040139</v>
      </c>
      <c r="CZ26" s="4">
        <f>CY26*(1+$W$51)</f>
        <v>17594.53100936054</v>
      </c>
      <c r="DA26" s="4">
        <f>CZ26*(1+$W$51)</f>
        <v>17770.476319454145</v>
      </c>
      <c r="DB26" s="4">
        <f>DA26*(1+$W$51)</f>
        <v>17948.181082648687</v>
      </c>
      <c r="DC26" s="4">
        <f>DB26*(1+$W$51)</f>
        <v>18127.662893475175</v>
      </c>
      <c r="DD26" s="4">
        <f>DC26*(1+$W$51)</f>
        <v>18308.939522409928</v>
      </c>
      <c r="DE26" s="4">
        <f>DD26*(1+$W$51)</f>
        <v>18492.028917634027</v>
      </c>
      <c r="DF26" s="4">
        <f>DE26*(1+$W$51)</f>
        <v>18676.949206810368</v>
      </c>
      <c r="DG26" s="4">
        <f>DF26*(1+$W$51)</f>
        <v>18863.718698878471</v>
      </c>
      <c r="DH26" s="4">
        <f>DG26*(1+$W$51)</f>
        <v>19052.355885867255</v>
      </c>
      <c r="DI26" s="4">
        <f>DH26*(1+$W$51)</f>
        <v>19242.879444725928</v>
      </c>
      <c r="DJ26" s="4">
        <f>DI26*(1+$W$51)</f>
        <v>19435.308239173188</v>
      </c>
      <c r="DK26" s="4">
        <f>DJ26*(1+$W$51)</f>
        <v>19629.661321564919</v>
      </c>
      <c r="DL26" s="4">
        <f>DK26*(1+$W$51)</f>
        <v>19825.95793478057</v>
      </c>
      <c r="DM26" s="4">
        <f>DL26*(1+$W$51)</f>
        <v>20024.217514128377</v>
      </c>
      <c r="DN26" s="4">
        <f>DM26*(1+$W$51)</f>
        <v>20224.459689269661</v>
      </c>
    </row>
    <row r="27" spans="1:118" x14ac:dyDescent="0.2">
      <c r="B27" s="2" t="s">
        <v>24</v>
      </c>
      <c r="M27" s="7">
        <v>3.33</v>
      </c>
      <c r="N27" s="7">
        <v>4.71</v>
      </c>
      <c r="O27" s="7">
        <v>6.51</v>
      </c>
      <c r="P27" s="7">
        <f>P26/P28</f>
        <v>6.9786213130559354</v>
      </c>
      <c r="Q27" s="7">
        <f t="shared" ref="Q27:T27" si="24">Q26/Q28</f>
        <v>7.6386415964500873</v>
      </c>
      <c r="R27" s="7">
        <f t="shared" si="24"/>
        <v>8.4853006004734297</v>
      </c>
      <c r="S27" s="7">
        <f t="shared" si="24"/>
        <v>9.5639938992576337</v>
      </c>
      <c r="T27" s="7">
        <f t="shared" si="24"/>
        <v>10.930145416520144</v>
      </c>
    </row>
    <row r="28" spans="1:118" x14ac:dyDescent="0.2">
      <c r="B28" s="2" t="s">
        <v>1</v>
      </c>
      <c r="O28" s="2">
        <v>697.84079999999994</v>
      </c>
      <c r="P28" s="2">
        <v>697.84079999999994</v>
      </c>
      <c r="Q28" s="2">
        <v>697.84079999999994</v>
      </c>
      <c r="R28" s="2">
        <v>697.84079999999994</v>
      </c>
      <c r="S28" s="2">
        <v>697.84079999999994</v>
      </c>
      <c r="T28" s="2">
        <v>697.84079999999994</v>
      </c>
    </row>
    <row r="29" spans="1:118" x14ac:dyDescent="0.2">
      <c r="P29" s="8"/>
    </row>
    <row r="30" spans="1:118" s="4" customFormat="1" x14ac:dyDescent="0.2">
      <c r="A30" s="2"/>
      <c r="B30" s="4" t="s">
        <v>25</v>
      </c>
      <c r="N30" s="9">
        <f>N14/M14-1</f>
        <v>-0.13563894781087182</v>
      </c>
      <c r="O30" s="9">
        <f>O14/N14-1</f>
        <v>8.0769013288097158E-2</v>
      </c>
      <c r="P30" s="9">
        <f t="shared" ref="P30:S30" si="25">P14/O14-1</f>
        <v>3.0378059371958699E-2</v>
      </c>
      <c r="Q30" s="9">
        <f t="shared" si="25"/>
        <v>7.7062124619707184E-2</v>
      </c>
      <c r="R30" s="9">
        <f t="shared" si="25"/>
        <v>8.4009661362397736E-2</v>
      </c>
      <c r="S30" s="9">
        <f t="shared" si="25"/>
        <v>9.1263476357607898E-2</v>
      </c>
      <c r="T30" s="9">
        <f t="shared" ref="T30" si="26">T14/S14-1</f>
        <v>9.8738934006841417E-2</v>
      </c>
    </row>
    <row r="31" spans="1:118" s="4" customFormat="1" x14ac:dyDescent="0.2">
      <c r="A31" s="2"/>
      <c r="B31" s="2" t="s">
        <v>32</v>
      </c>
      <c r="N31" s="9">
        <f>N12/M12-1</f>
        <v>-0.18797476340694008</v>
      </c>
      <c r="O31" s="9">
        <f>O12/N12-1</f>
        <v>0.10981617018631606</v>
      </c>
      <c r="P31" s="9">
        <f t="shared" ref="P31:S31" si="27">P12/O12-1</f>
        <v>-1</v>
      </c>
      <c r="Q31" s="9" t="e">
        <f t="shared" si="27"/>
        <v>#DIV/0!</v>
      </c>
      <c r="R31" s="9" t="e">
        <f t="shared" si="27"/>
        <v>#DIV/0!</v>
      </c>
      <c r="S31" s="9" t="e">
        <f t="shared" si="27"/>
        <v>#DIV/0!</v>
      </c>
      <c r="T31" s="9" t="e">
        <f t="shared" ref="T31" si="28">T12/S12-1</f>
        <v>#DIV/0!</v>
      </c>
    </row>
    <row r="32" spans="1:118" s="4" customFormat="1" x14ac:dyDescent="0.2">
      <c r="A32" s="2"/>
      <c r="B32" s="2" t="s">
        <v>33</v>
      </c>
      <c r="N32" s="9">
        <f>N13/M13-1</f>
        <v>4.4293089236909555E-2</v>
      </c>
      <c r="O32" s="9">
        <f>O13/N13-1</f>
        <v>3.1156530408773531E-3</v>
      </c>
      <c r="P32" s="9">
        <f t="shared" ref="P32:S32" si="29">P13/O13-1</f>
        <v>-1</v>
      </c>
      <c r="Q32" s="9" t="e">
        <f t="shared" si="29"/>
        <v>#DIV/0!</v>
      </c>
      <c r="R32" s="9" t="e">
        <f t="shared" si="29"/>
        <v>#DIV/0!</v>
      </c>
      <c r="S32" s="9" t="e">
        <f t="shared" si="29"/>
        <v>#DIV/0!</v>
      </c>
      <c r="T32" s="9" t="e">
        <f t="shared" ref="T32" si="30">T13/S13-1</f>
        <v>#DIV/0!</v>
      </c>
    </row>
    <row r="33" spans="1:20" s="4" customFormat="1" x14ac:dyDescent="0.2">
      <c r="A33" s="2"/>
      <c r="B33" s="4" t="s">
        <v>59</v>
      </c>
      <c r="N33" s="9"/>
      <c r="O33" s="9">
        <f>O3/N3-1</f>
        <v>0.53971856559237397</v>
      </c>
      <c r="P33" s="9">
        <f t="shared" ref="P33:T33" si="31">P3/O3-1</f>
        <v>0.19999999999999996</v>
      </c>
      <c r="Q33" s="9">
        <f t="shared" si="31"/>
        <v>0.19999999999999996</v>
      </c>
      <c r="R33" s="9">
        <f t="shared" si="31"/>
        <v>0.19999999999999996</v>
      </c>
      <c r="S33" s="9">
        <f t="shared" si="31"/>
        <v>0.19999999999999996</v>
      </c>
      <c r="T33" s="9">
        <f t="shared" si="31"/>
        <v>0.19999999999999996</v>
      </c>
    </row>
    <row r="35" spans="1:20" x14ac:dyDescent="0.2">
      <c r="B35" s="2" t="s">
        <v>31</v>
      </c>
      <c r="M35" s="10">
        <f>SUM(M17:M18)/M14</f>
        <v>0.22175736307562977</v>
      </c>
      <c r="N35" s="10">
        <f>SUM(N17:N18)/N14</f>
        <v>0.23826972010178116</v>
      </c>
      <c r="O35" s="10">
        <f>SUM(O17:O18)/O14</f>
        <v>0.22235708979040883</v>
      </c>
      <c r="P35" s="10">
        <f>SUM(P17:P18)/P14</f>
        <v>0.22760471702386134</v>
      </c>
      <c r="Q35" s="10">
        <f>SUM(Q17:Q18)/Q14</f>
        <v>0.22267981140258561</v>
      </c>
      <c r="R35" s="10">
        <f>SUM(R17:R18)/R14</f>
        <v>0.21755037337400149</v>
      </c>
      <c r="S35" s="10">
        <f>SUM(S17:S18)/S14</f>
        <v>0.21229099035554894</v>
      </c>
      <c r="T35" s="10">
        <f>SUM(T17:T18)/T14</f>
        <v>0.20698466605167193</v>
      </c>
    </row>
    <row r="36" spans="1:20" x14ac:dyDescent="0.2">
      <c r="B36" s="2" t="s">
        <v>65</v>
      </c>
      <c r="M36" s="11">
        <f>M17/M12</f>
        <v>0.16682649842271294</v>
      </c>
      <c r="N36" s="11">
        <f>N17/N12</f>
        <v>0.17461501406305843</v>
      </c>
      <c r="O36" s="11">
        <f>O17/O12</f>
        <v>0.15763091570988519</v>
      </c>
      <c r="P36" s="11">
        <v>0.17</v>
      </c>
      <c r="Q36" s="11">
        <v>0.17</v>
      </c>
      <c r="R36" s="11">
        <v>0.17</v>
      </c>
      <c r="S36" s="11">
        <v>0.17</v>
      </c>
      <c r="T36" s="11">
        <v>0.17</v>
      </c>
    </row>
    <row r="37" spans="1:20" x14ac:dyDescent="0.2">
      <c r="B37" s="2" t="s">
        <v>39</v>
      </c>
      <c r="M37" s="10">
        <f>M21/M14</f>
        <v>0.16534540229323272</v>
      </c>
      <c r="N37" s="10">
        <f>N21/N14</f>
        <v>0.17707661860333615</v>
      </c>
      <c r="O37" s="10">
        <f>O21/O14</f>
        <v>0.1570939759540427</v>
      </c>
      <c r="P37" s="10">
        <v>0.17</v>
      </c>
      <c r="Q37" s="10">
        <v>0.17</v>
      </c>
      <c r="R37" s="10">
        <v>0.17</v>
      </c>
      <c r="S37" s="10">
        <v>0.17</v>
      </c>
      <c r="T37" s="10">
        <v>0.17</v>
      </c>
    </row>
    <row r="39" spans="1:20" x14ac:dyDescent="0.2">
      <c r="B39" s="2" t="s">
        <v>28</v>
      </c>
      <c r="O39" s="2">
        <f>O40-O41</f>
        <v>-30973</v>
      </c>
      <c r="P39" s="2">
        <f>O39+P26</f>
        <v>-26103.033319999995</v>
      </c>
      <c r="Q39" s="2">
        <f>P39+Q26</f>
        <v>-20772.477557419988</v>
      </c>
      <c r="R39" s="2">
        <f>Q39+R26</f>
        <v>-14851.08859814513</v>
      </c>
      <c r="S39" s="2">
        <f>R39+S26</f>
        <v>-8176.9434442920647</v>
      </c>
      <c r="T39" s="2">
        <f>S39+T26</f>
        <v>-549.44202271131417</v>
      </c>
    </row>
    <row r="40" spans="1:20" x14ac:dyDescent="0.2">
      <c r="B40" s="2" t="s">
        <v>3</v>
      </c>
      <c r="O40" s="2">
        <v>3633</v>
      </c>
    </row>
    <row r="41" spans="1:20" x14ac:dyDescent="0.2">
      <c r="B41" s="2" t="s">
        <v>4</v>
      </c>
      <c r="O41" s="2">
        <f>19363+12292+2951</f>
        <v>34606</v>
      </c>
    </row>
    <row r="43" spans="1:20" x14ac:dyDescent="0.2">
      <c r="B43" s="2" t="s">
        <v>3</v>
      </c>
    </row>
    <row r="44" spans="1:20" x14ac:dyDescent="0.2">
      <c r="B44" s="2" t="s">
        <v>29</v>
      </c>
    </row>
    <row r="46" spans="1:20" x14ac:dyDescent="0.2">
      <c r="B46" s="2" t="s">
        <v>26</v>
      </c>
      <c r="M46" s="2">
        <f>M26</f>
        <v>2422</v>
      </c>
      <c r="N46" s="2">
        <f>N26</f>
        <v>3372</v>
      </c>
      <c r="O46" s="2">
        <f>O26</f>
        <v>4576</v>
      </c>
      <c r="P46" s="2">
        <f>P26</f>
        <v>4869.9666800000041</v>
      </c>
      <c r="Q46" s="2">
        <f>Q26</f>
        <v>5330.5557625800056</v>
      </c>
      <c r="R46" s="2">
        <f>R26</f>
        <v>5921.3889592748583</v>
      </c>
      <c r="S46" s="2">
        <f>S26</f>
        <v>6674.1451538530655</v>
      </c>
      <c r="T46" s="2">
        <f>T26</f>
        <v>7627.5014215807505</v>
      </c>
    </row>
    <row r="47" spans="1:20" x14ac:dyDescent="0.2">
      <c r="B47" s="2" t="s">
        <v>27</v>
      </c>
      <c r="M47" s="2">
        <v>2422</v>
      </c>
      <c r="N47" s="2">
        <v>3372</v>
      </c>
      <c r="O47" s="2">
        <v>4576</v>
      </c>
    </row>
    <row r="48" spans="1:20" x14ac:dyDescent="0.2">
      <c r="B48" s="2" t="s">
        <v>40</v>
      </c>
      <c r="M48" s="2">
        <v>3156</v>
      </c>
      <c r="N48" s="2">
        <v>3303</v>
      </c>
      <c r="O48" s="2">
        <v>3123</v>
      </c>
      <c r="P48" s="2">
        <f>O48*(1+P30)</f>
        <v>3217.8706794186269</v>
      </c>
      <c r="Q48" s="2">
        <f>P48*(1+Q30)</f>
        <v>3465.8466307260869</v>
      </c>
      <c r="R48" s="2">
        <f>Q48*(1+R30)</f>
        <v>3757.0112325073928</v>
      </c>
      <c r="S48" s="2">
        <f>R48*(1+S30)</f>
        <v>4099.8891383005985</v>
      </c>
      <c r="T48" s="2">
        <f>S48*(1+T30)</f>
        <v>4504.7078213626273</v>
      </c>
    </row>
    <row r="49" spans="1:116" x14ac:dyDescent="0.2">
      <c r="B49" s="2" t="s">
        <v>41</v>
      </c>
      <c r="M49" s="2">
        <v>931</v>
      </c>
      <c r="N49" s="2">
        <v>878</v>
      </c>
      <c r="O49" s="2">
        <v>785</v>
      </c>
      <c r="P49" s="2">
        <f>O49*1.1</f>
        <v>863.50000000000011</v>
      </c>
      <c r="Q49" s="2">
        <f t="shared" ref="Q49:T49" si="32">P49*1.1</f>
        <v>949.85000000000025</v>
      </c>
      <c r="R49" s="2">
        <f t="shared" si="32"/>
        <v>1044.8350000000003</v>
      </c>
      <c r="S49" s="2">
        <f t="shared" si="32"/>
        <v>1149.3185000000003</v>
      </c>
      <c r="T49" s="2">
        <f t="shared" si="32"/>
        <v>1264.2503500000005</v>
      </c>
    </row>
    <row r="50" spans="1:116" x14ac:dyDescent="0.2">
      <c r="B50" s="2" t="s">
        <v>42</v>
      </c>
      <c r="M50" s="2">
        <v>-717</v>
      </c>
      <c r="N50" s="2">
        <v>-91</v>
      </c>
      <c r="O50" s="2">
        <v>-208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V50" s="2" t="s">
        <v>34</v>
      </c>
      <c r="W50" s="12">
        <v>0.02</v>
      </c>
    </row>
    <row r="51" spans="1:116" x14ac:dyDescent="0.2">
      <c r="B51" s="2" t="s">
        <v>43</v>
      </c>
      <c r="M51" s="2">
        <v>961</v>
      </c>
      <c r="N51" s="2">
        <v>609</v>
      </c>
      <c r="O51" s="2">
        <v>453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V51" s="2" t="s">
        <v>35</v>
      </c>
      <c r="W51" s="12">
        <v>0.01</v>
      </c>
    </row>
    <row r="52" spans="1:116" x14ac:dyDescent="0.2">
      <c r="B52" s="2" t="s">
        <v>44</v>
      </c>
      <c r="M52" s="2">
        <v>113</v>
      </c>
      <c r="N52" s="2">
        <v>2977</v>
      </c>
      <c r="O52" s="2">
        <v>-1295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V52" s="2" t="s">
        <v>36</v>
      </c>
      <c r="W52" s="12">
        <v>8.5000000000000006E-2</v>
      </c>
    </row>
    <row r="53" spans="1:116" x14ac:dyDescent="0.2">
      <c r="B53" s="2" t="s">
        <v>45</v>
      </c>
      <c r="M53" s="2">
        <v>-461</v>
      </c>
      <c r="N53" s="2">
        <v>309</v>
      </c>
      <c r="O53" s="2">
        <v>-951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V53" s="4" t="s">
        <v>37</v>
      </c>
      <c r="W53" s="4">
        <f>NPV(W52,P60:XFD60)+main!N5-main!N6</f>
        <v>84521.800419303312</v>
      </c>
    </row>
    <row r="54" spans="1:116" x14ac:dyDescent="0.2">
      <c r="B54" s="2" t="s">
        <v>46</v>
      </c>
      <c r="M54" s="2">
        <v>875</v>
      </c>
      <c r="N54" s="2">
        <v>975</v>
      </c>
      <c r="O54" s="2">
        <v>-3515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V54" s="2" t="s">
        <v>0</v>
      </c>
      <c r="W54" s="7">
        <f>W53/main!N3</f>
        <v>121.11902946818718</v>
      </c>
    </row>
    <row r="55" spans="1:116" x14ac:dyDescent="0.2">
      <c r="B55" s="2" t="s">
        <v>47</v>
      </c>
      <c r="M55" s="2">
        <v>973</v>
      </c>
      <c r="N55" s="2">
        <v>-1484</v>
      </c>
      <c r="O55" s="2">
        <v>2347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30</v>
      </c>
      <c r="V55" s="2" t="s">
        <v>38</v>
      </c>
      <c r="W55" s="9">
        <f>W54/main!N2-1</f>
        <v>6.2447626913922694E-2</v>
      </c>
    </row>
    <row r="56" spans="1:116" x14ac:dyDescent="0.2">
      <c r="B56" s="2" t="s">
        <v>48</v>
      </c>
      <c r="M56" s="2">
        <v>-8546</v>
      </c>
      <c r="N56" s="2">
        <v>-498</v>
      </c>
      <c r="O56" s="2">
        <v>1703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116" x14ac:dyDescent="0.2">
      <c r="B57" s="2" t="s">
        <v>49</v>
      </c>
      <c r="M57" s="2">
        <v>3209</v>
      </c>
      <c r="N57" s="2">
        <v>-1022</v>
      </c>
      <c r="O57" s="2">
        <v>-2497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116" s="4" customFormat="1" x14ac:dyDescent="0.2">
      <c r="A58" s="2"/>
      <c r="B58" s="4" t="s">
        <v>50</v>
      </c>
      <c r="M58" s="4">
        <f>SUM(M47:M57)</f>
        <v>2916</v>
      </c>
      <c r="N58" s="4">
        <f t="shared" ref="N58:O58" si="33">SUM(N47:N57)</f>
        <v>9328</v>
      </c>
      <c r="O58" s="4">
        <f t="shared" si="33"/>
        <v>4521</v>
      </c>
      <c r="P58" s="4">
        <f>SUM(P48:P57,P46)</f>
        <v>8951.3373594186305</v>
      </c>
      <c r="Q58" s="4">
        <f t="shared" ref="Q58:T58" si="34">SUM(Q48:Q57,Q46)</f>
        <v>9746.2523933060929</v>
      </c>
      <c r="R58" s="4">
        <f t="shared" si="34"/>
        <v>10723.235191782253</v>
      </c>
      <c r="S58" s="4">
        <f t="shared" si="34"/>
        <v>11923.352792153664</v>
      </c>
      <c r="T58" s="4">
        <f t="shared" si="34"/>
        <v>13396.459592943378</v>
      </c>
    </row>
    <row r="59" spans="1:116" s="4" customFormat="1" x14ac:dyDescent="0.2">
      <c r="A59" s="2"/>
      <c r="B59" s="4" t="s">
        <v>51</v>
      </c>
      <c r="M59" s="4">
        <v>-3003</v>
      </c>
      <c r="N59" s="4">
        <v>-2756</v>
      </c>
      <c r="O59" s="4">
        <v>-2652</v>
      </c>
      <c r="P59" s="4">
        <f>O59*(1+P30)</f>
        <v>-2732.5626134544345</v>
      </c>
      <c r="Q59" s="4">
        <f>P59*(1+Q30)</f>
        <v>-2943.1396941036128</v>
      </c>
      <c r="R59" s="4">
        <f>Q59*(1+R30)</f>
        <v>-3190.391863147488</v>
      </c>
      <c r="S59" s="4">
        <f>R59*(1+S30)</f>
        <v>-3481.5581155213536</v>
      </c>
      <c r="T59" s="4">
        <f>S59*(1+T30)</f>
        <v>-3825.3234525307998</v>
      </c>
    </row>
    <row r="60" spans="1:116" s="4" customFormat="1" x14ac:dyDescent="0.2">
      <c r="A60" s="2"/>
      <c r="B60" s="4" t="s">
        <v>52</v>
      </c>
      <c r="M60" s="4">
        <f>M58+M59</f>
        <v>-87</v>
      </c>
      <c r="N60" s="4">
        <f t="shared" ref="N60:O60" si="35">N58+N59</f>
        <v>6572</v>
      </c>
      <c r="O60" s="4">
        <f t="shared" si="35"/>
        <v>1869</v>
      </c>
      <c r="P60" s="4">
        <f t="shared" ref="P60" si="36">P58+P59</f>
        <v>6218.774745964196</v>
      </c>
      <c r="Q60" s="4">
        <f t="shared" ref="Q60" si="37">Q58+Q59</f>
        <v>6803.1126992024801</v>
      </c>
      <c r="R60" s="4">
        <f t="shared" ref="R60" si="38">R58+R59</f>
        <v>7532.8433286347645</v>
      </c>
      <c r="S60" s="4">
        <f t="shared" ref="S60" si="39">S58+S59</f>
        <v>8441.7946766323112</v>
      </c>
      <c r="T60" s="4">
        <f t="shared" ref="T60" si="40">T58+T59</f>
        <v>9571.1361404125782</v>
      </c>
      <c r="U60" s="4">
        <f t="shared" ref="U60:AZ60" si="41">T60*(1+$W$51)</f>
        <v>9666.8475018167046</v>
      </c>
      <c r="V60" s="4">
        <f t="shared" si="41"/>
        <v>9763.5159768348713</v>
      </c>
      <c r="W60" s="4">
        <f t="shared" si="41"/>
        <v>9861.1511366032209</v>
      </c>
      <c r="X60" s="4">
        <f t="shared" si="41"/>
        <v>9959.7626479692535</v>
      </c>
      <c r="Y60" s="4">
        <f t="shared" si="41"/>
        <v>10059.360274448945</v>
      </c>
      <c r="Z60" s="4">
        <f t="shared" si="41"/>
        <v>10159.953877193435</v>
      </c>
      <c r="AA60" s="4">
        <f t="shared" si="41"/>
        <v>10261.553415965369</v>
      </c>
      <c r="AB60" s="4">
        <f t="shared" si="41"/>
        <v>10364.168950125022</v>
      </c>
      <c r="AC60" s="4">
        <f t="shared" si="41"/>
        <v>10467.810639626272</v>
      </c>
      <c r="AD60" s="4">
        <f t="shared" si="41"/>
        <v>10572.488746022535</v>
      </c>
      <c r="AE60" s="4">
        <f t="shared" si="41"/>
        <v>10678.213633482759</v>
      </c>
      <c r="AF60" s="4">
        <f t="shared" si="41"/>
        <v>10784.995769817588</v>
      </c>
      <c r="AG60" s="4">
        <f t="shared" si="41"/>
        <v>10892.845727515763</v>
      </c>
      <c r="AH60" s="4">
        <f t="shared" si="41"/>
        <v>11001.774184790922</v>
      </c>
      <c r="AI60" s="4">
        <f t="shared" si="41"/>
        <v>11111.791926638831</v>
      </c>
      <c r="AJ60" s="4">
        <f t="shared" si="41"/>
        <v>11222.909845905218</v>
      </c>
      <c r="AK60" s="4">
        <f t="shared" si="41"/>
        <v>11335.138944364271</v>
      </c>
      <c r="AL60" s="4">
        <f t="shared" si="41"/>
        <v>11448.490333807915</v>
      </c>
      <c r="AM60" s="4">
        <f t="shared" si="41"/>
        <v>11562.975237145994</v>
      </c>
      <c r="AN60" s="4">
        <f t="shared" si="41"/>
        <v>11678.604989517455</v>
      </c>
      <c r="AO60" s="4">
        <f t="shared" si="41"/>
        <v>11795.391039412629</v>
      </c>
      <c r="AP60" s="4">
        <f t="shared" si="41"/>
        <v>11913.344949806755</v>
      </c>
      <c r="AQ60" s="4">
        <f t="shared" si="41"/>
        <v>12032.478399304822</v>
      </c>
      <c r="AR60" s="4">
        <f t="shared" si="41"/>
        <v>12152.80318329787</v>
      </c>
      <c r="AS60" s="4">
        <f t="shared" si="41"/>
        <v>12274.331215130849</v>
      </c>
      <c r="AT60" s="4">
        <f t="shared" si="41"/>
        <v>12397.074527282159</v>
      </c>
      <c r="AU60" s="4">
        <f t="shared" si="41"/>
        <v>12521.04527255498</v>
      </c>
      <c r="AV60" s="4">
        <f t="shared" si="41"/>
        <v>12646.255725280531</v>
      </c>
      <c r="AW60" s="4">
        <f t="shared" si="41"/>
        <v>12772.718282533337</v>
      </c>
      <c r="AX60" s="4">
        <f t="shared" si="41"/>
        <v>12900.445465358671</v>
      </c>
      <c r="AY60" s="4">
        <f t="shared" si="41"/>
        <v>13029.449920012257</v>
      </c>
      <c r="AZ60" s="4">
        <f t="shared" si="41"/>
        <v>13159.74441921238</v>
      </c>
      <c r="BA60" s="4">
        <f t="shared" ref="BA60:CF60" si="42">AZ60*(1+$W$51)</f>
        <v>13291.341863404505</v>
      </c>
      <c r="BB60" s="4">
        <f t="shared" si="42"/>
        <v>13424.25528203855</v>
      </c>
      <c r="BC60" s="4">
        <f t="shared" si="42"/>
        <v>13558.497834858936</v>
      </c>
      <c r="BD60" s="4">
        <f t="shared" si="42"/>
        <v>13694.082813207526</v>
      </c>
      <c r="BE60" s="4">
        <f t="shared" si="42"/>
        <v>13831.023641339601</v>
      </c>
      <c r="BF60" s="4">
        <f t="shared" si="42"/>
        <v>13969.333877752997</v>
      </c>
      <c r="BG60" s="4">
        <f t="shared" si="42"/>
        <v>14109.027216530527</v>
      </c>
      <c r="BH60" s="4">
        <f t="shared" si="42"/>
        <v>14250.117488695832</v>
      </c>
      <c r="BI60" s="4">
        <f t="shared" si="42"/>
        <v>14392.618663582791</v>
      </c>
      <c r="BJ60" s="4">
        <f t="shared" si="42"/>
        <v>14536.544850218619</v>
      </c>
      <c r="BK60" s="4">
        <f t="shared" si="42"/>
        <v>14681.910298720806</v>
      </c>
      <c r="BL60" s="4">
        <f t="shared" si="42"/>
        <v>14828.729401708015</v>
      </c>
      <c r="BM60" s="4">
        <f t="shared" si="42"/>
        <v>14977.016695725095</v>
      </c>
      <c r="BN60" s="4">
        <f t="shared" si="42"/>
        <v>15126.786862682346</v>
      </c>
      <c r="BO60" s="4">
        <f t="shared" si="42"/>
        <v>15278.054731309168</v>
      </c>
      <c r="BP60" s="4">
        <f t="shared" si="42"/>
        <v>15430.83527862226</v>
      </c>
      <c r="BQ60" s="4">
        <f t="shared" si="42"/>
        <v>15585.143631408484</v>
      </c>
      <c r="BR60" s="4">
        <f t="shared" si="42"/>
        <v>15740.99506772257</v>
      </c>
      <c r="BS60" s="4">
        <f t="shared" si="42"/>
        <v>15898.405018399795</v>
      </c>
      <c r="BT60" s="4">
        <f t="shared" si="42"/>
        <v>16057.389068583794</v>
      </c>
      <c r="BU60" s="4">
        <f t="shared" si="42"/>
        <v>16217.962959269633</v>
      </c>
      <c r="BV60" s="4">
        <f t="shared" si="42"/>
        <v>16380.142588862329</v>
      </c>
      <c r="BW60" s="4">
        <f t="shared" si="42"/>
        <v>16543.944014750952</v>
      </c>
      <c r="BX60" s="4">
        <f t="shared" si="42"/>
        <v>16709.383454898463</v>
      </c>
      <c r="BY60" s="4">
        <f t="shared" si="42"/>
        <v>16876.477289447448</v>
      </c>
      <c r="BZ60" s="4">
        <f t="shared" si="42"/>
        <v>17045.242062341924</v>
      </c>
      <c r="CA60" s="4">
        <f t="shared" si="42"/>
        <v>17215.694482965344</v>
      </c>
      <c r="CB60" s="4">
        <f t="shared" si="42"/>
        <v>17387.851427794998</v>
      </c>
      <c r="CC60" s="4">
        <f t="shared" si="42"/>
        <v>17561.729942072947</v>
      </c>
      <c r="CD60" s="4">
        <f t="shared" si="42"/>
        <v>17737.347241493677</v>
      </c>
      <c r="CE60" s="4">
        <f t="shared" si="42"/>
        <v>17914.720713908613</v>
      </c>
      <c r="CF60" s="4">
        <f t="shared" si="42"/>
        <v>18093.867921047698</v>
      </c>
      <c r="CG60" s="4">
        <f t="shared" ref="CG60:DL60" si="43">CF60*(1+$W$51)</f>
        <v>18274.806600258176</v>
      </c>
      <c r="CH60" s="4">
        <f t="shared" si="43"/>
        <v>18457.554666260759</v>
      </c>
      <c r="CI60" s="4">
        <f t="shared" si="43"/>
        <v>18642.130212923366</v>
      </c>
      <c r="CJ60" s="4">
        <f t="shared" si="43"/>
        <v>18828.551515052601</v>
      </c>
      <c r="CK60" s="4">
        <f t="shared" si="43"/>
        <v>19016.837030203125</v>
      </c>
      <c r="CL60" s="4">
        <f t="shared" si="43"/>
        <v>19207.005400505157</v>
      </c>
      <c r="CM60" s="4">
        <f t="shared" si="43"/>
        <v>19399.07545451021</v>
      </c>
      <c r="CN60" s="4">
        <f t="shared" si="43"/>
        <v>19593.066209055312</v>
      </c>
      <c r="CO60" s="4">
        <f t="shared" si="43"/>
        <v>19788.996871145864</v>
      </c>
      <c r="CP60" s="4">
        <f t="shared" si="43"/>
        <v>19986.886839857321</v>
      </c>
      <c r="CQ60" s="4">
        <f t="shared" si="43"/>
        <v>20186.755708255896</v>
      </c>
      <c r="CR60" s="4">
        <f t="shared" si="43"/>
        <v>20388.623265338454</v>
      </c>
      <c r="CS60" s="4">
        <f t="shared" si="43"/>
        <v>20592.509497991839</v>
      </c>
      <c r="CT60" s="4">
        <f t="shared" si="43"/>
        <v>20798.434592971757</v>
      </c>
      <c r="CU60" s="4">
        <f t="shared" si="43"/>
        <v>21006.418938901475</v>
      </c>
      <c r="CV60" s="4">
        <f t="shared" si="43"/>
        <v>21216.483128290489</v>
      </c>
      <c r="CW60" s="4">
        <f t="shared" si="43"/>
        <v>21428.647959573394</v>
      </c>
      <c r="CX60" s="4">
        <f t="shared" si="43"/>
        <v>21642.93443916913</v>
      </c>
      <c r="CY60" s="4">
        <f t="shared" si="43"/>
        <v>21859.363783560821</v>
      </c>
      <c r="CZ60" s="4">
        <f t="shared" si="43"/>
        <v>22077.95742139643</v>
      </c>
      <c r="DA60" s="4">
        <f t="shared" si="43"/>
        <v>22298.736995610394</v>
      </c>
      <c r="DB60" s="4">
        <f t="shared" si="43"/>
        <v>22521.724365566497</v>
      </c>
      <c r="DC60" s="4">
        <f t="shared" si="43"/>
        <v>22746.941609222162</v>
      </c>
      <c r="DD60" s="4">
        <f t="shared" si="43"/>
        <v>22974.411025314384</v>
      </c>
      <c r="DE60" s="4">
        <f t="shared" si="43"/>
        <v>23204.155135567529</v>
      </c>
      <c r="DF60" s="4">
        <f t="shared" si="43"/>
        <v>23436.196686923206</v>
      </c>
      <c r="DG60" s="4">
        <f t="shared" si="43"/>
        <v>23670.558653792439</v>
      </c>
      <c r="DH60" s="4">
        <f t="shared" si="43"/>
        <v>23907.264240330365</v>
      </c>
      <c r="DI60" s="4">
        <f t="shared" si="43"/>
        <v>24146.336882733671</v>
      </c>
      <c r="DJ60" s="4">
        <f t="shared" si="43"/>
        <v>24387.800251561006</v>
      </c>
      <c r="DK60" s="4">
        <f t="shared" si="43"/>
        <v>24631.678254076618</v>
      </c>
      <c r="DL60" s="4">
        <f t="shared" si="43"/>
        <v>24877.995036617383</v>
      </c>
    </row>
  </sheetData>
  <hyperlinks>
    <hyperlink ref="A1" location="Sheet1!A1" display="Main" xr:uid="{6B0C802A-F7BA-4EEA-ADAB-A801FB6947E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2025-05-14T22:31:56Z</dcterms:created>
  <dcterms:modified xsi:type="dcterms:W3CDTF">2025-06-17T03:10:05Z</dcterms:modified>
</cp:coreProperties>
</file>