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18DB797-283B-458A-B4B7-6F76B48843AA}" xr6:coauthVersionLast="47" xr6:coauthVersionMax="47" xr10:uidLastSave="{00000000-0000-0000-0000-000000000000}"/>
  <bookViews>
    <workbookView xWindow="2295" yWindow="285" windowWidth="21945" windowHeight="14610" activeTab="1" xr2:uid="{CC150222-A64E-41A9-970B-115CAE7D1BC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2" l="1"/>
  <c r="S12" i="2"/>
  <c r="R11" i="2" l="1"/>
  <c r="R9" i="2"/>
  <c r="T11" i="2"/>
  <c r="O17" i="2"/>
  <c r="P17" i="2" s="1"/>
  <c r="Q17" i="2" s="1"/>
  <c r="R17" i="2" s="1"/>
  <c r="O19" i="2"/>
  <c r="P19" i="2" s="1"/>
  <c r="Q19" i="2" s="1"/>
  <c r="R19" i="2" s="1"/>
  <c r="S19" i="2" s="1"/>
  <c r="O20" i="2"/>
  <c r="P20" i="2" s="1"/>
  <c r="Q20" i="2" s="1"/>
  <c r="R20" i="2" s="1"/>
  <c r="O21" i="2"/>
  <c r="P21" i="2" s="1"/>
  <c r="Q21" i="2" s="1"/>
  <c r="R21" i="2" s="1"/>
  <c r="S21" i="2" s="1"/>
  <c r="T21" i="2" s="1"/>
  <c r="U21" i="2" s="1"/>
  <c r="V21" i="2" s="1"/>
  <c r="W21" i="2" s="1"/>
  <c r="O24" i="2"/>
  <c r="P24" i="2" s="1"/>
  <c r="Q24" i="2" s="1"/>
  <c r="R24" i="2" s="1"/>
  <c r="S24" i="2" s="1"/>
  <c r="T24" i="2" s="1"/>
  <c r="U24" i="2" s="1"/>
  <c r="V24" i="2" s="1"/>
  <c r="W24" i="2" s="1"/>
  <c r="O23" i="2"/>
  <c r="P23" i="2" s="1"/>
  <c r="Q23" i="2" s="1"/>
  <c r="R23" i="2" s="1"/>
  <c r="S23" i="2" s="1"/>
  <c r="T23" i="2" s="1"/>
  <c r="U23" i="2" s="1"/>
  <c r="V23" i="2" s="1"/>
  <c r="W23" i="2" s="1"/>
  <c r="O22" i="2"/>
  <c r="P22" i="2" s="1"/>
  <c r="Q22" i="2" s="1"/>
  <c r="R22" i="2" s="1"/>
  <c r="S22" i="2" s="1"/>
  <c r="T22" i="2" s="1"/>
  <c r="U22" i="2" s="1"/>
  <c r="V22" i="2" s="1"/>
  <c r="W22" i="2" s="1"/>
  <c r="O12" i="2"/>
  <c r="P12" i="2" s="1"/>
  <c r="Q12" i="2" s="1"/>
  <c r="T12" i="2" s="1"/>
  <c r="O9" i="2"/>
  <c r="P9" i="2" s="1"/>
  <c r="O11" i="2"/>
  <c r="P11" i="2" s="1"/>
  <c r="Q11" i="2" s="1"/>
  <c r="X22" i="2"/>
  <c r="X23" i="2"/>
  <c r="N55" i="2"/>
  <c r="M55" i="2"/>
  <c r="N54" i="2"/>
  <c r="M54" i="2"/>
  <c r="O106" i="2"/>
  <c r="P106" i="2" s="1"/>
  <c r="Q106" i="2" s="1"/>
  <c r="R106" i="2" s="1"/>
  <c r="S106" i="2" s="1"/>
  <c r="T106" i="2" s="1"/>
  <c r="U106" i="2" s="1"/>
  <c r="V106" i="2" s="1"/>
  <c r="W106" i="2" s="1"/>
  <c r="X106" i="2" s="1"/>
  <c r="D51" i="2"/>
  <c r="E51" i="2"/>
  <c r="F51" i="2"/>
  <c r="G51" i="2"/>
  <c r="C51" i="2"/>
  <c r="O96" i="2"/>
  <c r="P96" i="2" s="1"/>
  <c r="Q96" i="2" s="1"/>
  <c r="R96" i="2" s="1"/>
  <c r="S96" i="2" s="1"/>
  <c r="T96" i="2" s="1"/>
  <c r="U96" i="2" s="1"/>
  <c r="V96" i="2" s="1"/>
  <c r="W96" i="2" s="1"/>
  <c r="X96" i="2" s="1"/>
  <c r="L111" i="2"/>
  <c r="N109" i="2"/>
  <c r="N111" i="2" s="1"/>
  <c r="M109" i="2"/>
  <c r="M108" i="2"/>
  <c r="N91" i="2"/>
  <c r="M91" i="2"/>
  <c r="L91" i="2"/>
  <c r="Q9" i="2" l="1"/>
  <c r="U12" i="2"/>
  <c r="V12" i="2" s="1"/>
  <c r="W12" i="2" s="1"/>
  <c r="T45" i="2"/>
  <c r="T19" i="2"/>
  <c r="T46" i="2"/>
  <c r="U19" i="2"/>
  <c r="T47" i="2"/>
  <c r="U45" i="2"/>
  <c r="V44" i="2"/>
  <c r="T44" i="2"/>
  <c r="U44" i="2"/>
  <c r="M111" i="2"/>
  <c r="N67" i="2"/>
  <c r="N69" i="2" s="1"/>
  <c r="N73" i="2" s="1"/>
  <c r="M67" i="2"/>
  <c r="M69" i="2" s="1"/>
  <c r="M73" i="2" s="1"/>
  <c r="N83" i="2"/>
  <c r="M83" i="2"/>
  <c r="N53" i="2"/>
  <c r="M53" i="2"/>
  <c r="U46" i="2" l="1"/>
  <c r="V19" i="2"/>
  <c r="U47" i="2"/>
  <c r="V45" i="2"/>
  <c r="W44" i="2"/>
  <c r="X44" i="2"/>
  <c r="M84" i="2"/>
  <c r="M85" i="2" s="1"/>
  <c r="N84" i="2"/>
  <c r="N85" i="2" s="1"/>
  <c r="G54" i="2"/>
  <c r="O43" i="2"/>
  <c r="P43" i="2"/>
  <c r="Q43" i="2"/>
  <c r="R43" i="2"/>
  <c r="O44" i="2"/>
  <c r="P44" i="2"/>
  <c r="Q44" i="2"/>
  <c r="R44" i="2"/>
  <c r="S44" i="2"/>
  <c r="O45" i="2"/>
  <c r="P45" i="2"/>
  <c r="Q45" i="2"/>
  <c r="R45" i="2"/>
  <c r="S45" i="2"/>
  <c r="O46" i="2"/>
  <c r="P46" i="2"/>
  <c r="Q46" i="2"/>
  <c r="R46" i="2"/>
  <c r="S46" i="2"/>
  <c r="O47" i="2"/>
  <c r="P47" i="2"/>
  <c r="Q47" i="2"/>
  <c r="R47" i="2"/>
  <c r="S47" i="2"/>
  <c r="N43" i="2"/>
  <c r="N44" i="2"/>
  <c r="N45" i="2"/>
  <c r="N46" i="2"/>
  <c r="N47" i="2"/>
  <c r="N18" i="2"/>
  <c r="O18" i="2" s="1"/>
  <c r="P18" i="2" s="1"/>
  <c r="Q18" i="2" s="1"/>
  <c r="R18" i="2" s="1"/>
  <c r="S18" i="2" s="1"/>
  <c r="T18" i="2" s="1"/>
  <c r="U18" i="2" s="1"/>
  <c r="V18" i="2" s="1"/>
  <c r="W18" i="2" s="1"/>
  <c r="M18" i="2"/>
  <c r="N16" i="2"/>
  <c r="O16" i="2" s="1"/>
  <c r="P16" i="2" s="1"/>
  <c r="Q16" i="2" s="1"/>
  <c r="R16" i="2" s="1"/>
  <c r="S16" i="2" s="1"/>
  <c r="T16" i="2" s="1"/>
  <c r="U16" i="2" s="1"/>
  <c r="V16" i="2" s="1"/>
  <c r="W16" i="2" s="1"/>
  <c r="M16" i="2"/>
  <c r="N15" i="2"/>
  <c r="O15" i="2" s="1"/>
  <c r="P15" i="2" s="1"/>
  <c r="Q15" i="2" s="1"/>
  <c r="R15" i="2" s="1"/>
  <c r="S15" i="2" s="1"/>
  <c r="T15" i="2" s="1"/>
  <c r="U15" i="2" s="1"/>
  <c r="V15" i="2" s="1"/>
  <c r="W15" i="2" s="1"/>
  <c r="M15" i="2"/>
  <c r="N14" i="2"/>
  <c r="O14" i="2" s="1"/>
  <c r="P14" i="2" s="1"/>
  <c r="Q14" i="2" s="1"/>
  <c r="R14" i="2" s="1"/>
  <c r="S14" i="2" s="1"/>
  <c r="T14" i="2" s="1"/>
  <c r="U14" i="2" s="1"/>
  <c r="V14" i="2" s="1"/>
  <c r="W14" i="2" s="1"/>
  <c r="M14" i="2"/>
  <c r="N13" i="2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M13" i="2"/>
  <c r="M10" i="2"/>
  <c r="N10" i="2"/>
  <c r="O10" i="2" s="1"/>
  <c r="N25" i="2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M25" i="2"/>
  <c r="H26" i="2"/>
  <c r="G55" i="2"/>
  <c r="G57" i="2"/>
  <c r="E41" i="2"/>
  <c r="F41" i="2"/>
  <c r="G41" i="2"/>
  <c r="D41" i="2"/>
  <c r="G40" i="2"/>
  <c r="M31" i="2"/>
  <c r="N31" i="2"/>
  <c r="L31" i="2"/>
  <c r="L28" i="2"/>
  <c r="L49" i="2" s="1"/>
  <c r="D28" i="2"/>
  <c r="D49" i="2" s="1"/>
  <c r="E28" i="2"/>
  <c r="E49" i="2" s="1"/>
  <c r="F28" i="2"/>
  <c r="F49" i="2" s="1"/>
  <c r="D31" i="2"/>
  <c r="E31" i="2"/>
  <c r="F31" i="2"/>
  <c r="C31" i="2"/>
  <c r="C28" i="2"/>
  <c r="C49" i="2" s="1"/>
  <c r="G31" i="2"/>
  <c r="G28" i="2"/>
  <c r="G49" i="2" s="1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P6" i="1"/>
  <c r="P5" i="1"/>
  <c r="P4" i="1"/>
  <c r="P7" i="1" s="1"/>
  <c r="P10" i="2" l="1"/>
  <c r="O26" i="2"/>
  <c r="W19" i="2"/>
  <c r="V46" i="2"/>
  <c r="V47" i="2"/>
  <c r="X45" i="2"/>
  <c r="W45" i="2"/>
  <c r="I26" i="2"/>
  <c r="H51" i="2"/>
  <c r="G53" i="2"/>
  <c r="H33" i="2" s="1"/>
  <c r="N26" i="2"/>
  <c r="M26" i="2"/>
  <c r="H40" i="2"/>
  <c r="H41" i="2"/>
  <c r="F32" i="2"/>
  <c r="F34" i="2" s="1"/>
  <c r="D32" i="2"/>
  <c r="D50" i="2" s="1"/>
  <c r="E32" i="2"/>
  <c r="E34" i="2" s="1"/>
  <c r="G32" i="2"/>
  <c r="L32" i="2"/>
  <c r="C32" i="2"/>
  <c r="S43" i="2" l="1"/>
  <c r="Q10" i="2"/>
  <c r="P26" i="2"/>
  <c r="W46" i="2"/>
  <c r="X46" i="2"/>
  <c r="W47" i="2"/>
  <c r="X47" i="2"/>
  <c r="N4" i="2"/>
  <c r="N2" i="2"/>
  <c r="N3" i="2"/>
  <c r="J26" i="2"/>
  <c r="J51" i="2" s="1"/>
  <c r="I51" i="2"/>
  <c r="M28" i="2"/>
  <c r="M32" i="2" s="1"/>
  <c r="M34" i="2" s="1"/>
  <c r="M36" i="2" s="1"/>
  <c r="M87" i="2"/>
  <c r="N87" i="2"/>
  <c r="N40" i="2"/>
  <c r="M40" i="2"/>
  <c r="M3" i="2"/>
  <c r="M2" i="2"/>
  <c r="M4" i="2"/>
  <c r="N28" i="2"/>
  <c r="F50" i="2"/>
  <c r="E50" i="2"/>
  <c r="H27" i="2"/>
  <c r="H30" i="2"/>
  <c r="H29" i="2"/>
  <c r="D34" i="2"/>
  <c r="I41" i="2"/>
  <c r="I40" i="2"/>
  <c r="G34" i="2"/>
  <c r="G50" i="2"/>
  <c r="E36" i="2"/>
  <c r="E38" i="2" s="1"/>
  <c r="C34" i="2"/>
  <c r="C50" i="2"/>
  <c r="F36" i="2"/>
  <c r="F38" i="2" s="1"/>
  <c r="L34" i="2"/>
  <c r="L50" i="2"/>
  <c r="M49" i="2" l="1"/>
  <c r="R10" i="2"/>
  <c r="Q26" i="2"/>
  <c r="U9" i="2"/>
  <c r="T43" i="2"/>
  <c r="O3" i="2"/>
  <c r="O4" i="2"/>
  <c r="O2" i="2"/>
  <c r="M50" i="2"/>
  <c r="M37" i="2"/>
  <c r="M89" i="2"/>
  <c r="M105" i="2" s="1"/>
  <c r="M112" i="2" s="1"/>
  <c r="M51" i="2" s="1"/>
  <c r="D36" i="2"/>
  <c r="D38" i="2" s="1"/>
  <c r="N49" i="2"/>
  <c r="N32" i="2"/>
  <c r="I29" i="2"/>
  <c r="H31" i="2"/>
  <c r="I30" i="2"/>
  <c r="I27" i="2"/>
  <c r="H28" i="2"/>
  <c r="O40" i="2"/>
  <c r="J40" i="2"/>
  <c r="J41" i="2"/>
  <c r="L36" i="2"/>
  <c r="C36" i="2"/>
  <c r="C38" i="2" s="1"/>
  <c r="G36" i="2"/>
  <c r="G38" i="2" s="1"/>
  <c r="V9" i="2" l="1"/>
  <c r="U43" i="2"/>
  <c r="S10" i="2"/>
  <c r="R26" i="2"/>
  <c r="O99" i="2"/>
  <c r="O95" i="2"/>
  <c r="O98" i="2"/>
  <c r="P3" i="2"/>
  <c r="P2" i="2"/>
  <c r="P4" i="2"/>
  <c r="O100" i="2"/>
  <c r="O97" i="2"/>
  <c r="O108" i="2"/>
  <c r="O94" i="2"/>
  <c r="O107" i="2"/>
  <c r="O101" i="2"/>
  <c r="O110" i="2"/>
  <c r="O93" i="2"/>
  <c r="O109" i="2"/>
  <c r="O92" i="2"/>
  <c r="P92" i="2" s="1"/>
  <c r="O104" i="2"/>
  <c r="O103" i="2"/>
  <c r="O91" i="2"/>
  <c r="P91" i="2" s="1"/>
  <c r="Q91" i="2" s="1"/>
  <c r="R91" i="2" s="1"/>
  <c r="L37" i="2"/>
  <c r="L89" i="2"/>
  <c r="L105" i="2" s="1"/>
  <c r="L112" i="2" s="1"/>
  <c r="L51" i="2" s="1"/>
  <c r="N50" i="2"/>
  <c r="N34" i="2"/>
  <c r="H49" i="2"/>
  <c r="H32" i="2"/>
  <c r="J27" i="2"/>
  <c r="I28" i="2"/>
  <c r="J30" i="2"/>
  <c r="J29" i="2"/>
  <c r="I31" i="2"/>
  <c r="P40" i="2"/>
  <c r="J31" i="2" l="1"/>
  <c r="T10" i="2"/>
  <c r="S26" i="2"/>
  <c r="W9" i="2"/>
  <c r="V43" i="2"/>
  <c r="P103" i="2"/>
  <c r="P104" i="2"/>
  <c r="Q2" i="2"/>
  <c r="Q3" i="2"/>
  <c r="Q4" i="2"/>
  <c r="P109" i="2"/>
  <c r="P107" i="2"/>
  <c r="O111" i="2"/>
  <c r="P102" i="2"/>
  <c r="P93" i="2"/>
  <c r="P110" i="2"/>
  <c r="P101" i="2"/>
  <c r="P94" i="2"/>
  <c r="P95" i="2"/>
  <c r="P108" i="2"/>
  <c r="P97" i="2"/>
  <c r="Q97" i="2" s="1"/>
  <c r="P98" i="2"/>
  <c r="P99" i="2"/>
  <c r="P100" i="2"/>
  <c r="N36" i="2"/>
  <c r="O29" i="2"/>
  <c r="P29" i="2" s="1"/>
  <c r="Q29" i="2" s="1"/>
  <c r="R29" i="2" s="1"/>
  <c r="S29" i="2" s="1"/>
  <c r="T29" i="2" s="1"/>
  <c r="U29" i="2" s="1"/>
  <c r="V29" i="2" s="1"/>
  <c r="W29" i="2" s="1"/>
  <c r="X29" i="2" s="1"/>
  <c r="I49" i="2"/>
  <c r="I32" i="2"/>
  <c r="I50" i="2" s="1"/>
  <c r="J28" i="2"/>
  <c r="O27" i="2"/>
  <c r="H34" i="2"/>
  <c r="H35" i="2" s="1"/>
  <c r="H50" i="2"/>
  <c r="Q40" i="2"/>
  <c r="X9" i="2" l="1"/>
  <c r="W43" i="2"/>
  <c r="U10" i="2"/>
  <c r="T26" i="2"/>
  <c r="Q95" i="2"/>
  <c r="Q99" i="2"/>
  <c r="Q98" i="2"/>
  <c r="R2" i="2"/>
  <c r="R3" i="2"/>
  <c r="R4" i="2"/>
  <c r="Q109" i="2"/>
  <c r="Q101" i="2"/>
  <c r="Q94" i="2"/>
  <c r="Q104" i="2"/>
  <c r="Q108" i="2"/>
  <c r="Q110" i="2"/>
  <c r="Q93" i="2"/>
  <c r="Q102" i="2"/>
  <c r="Q92" i="2"/>
  <c r="Q103" i="2"/>
  <c r="Q100" i="2"/>
  <c r="Q107" i="2"/>
  <c r="P111" i="2"/>
  <c r="N37" i="2"/>
  <c r="N89" i="2"/>
  <c r="N105" i="2" s="1"/>
  <c r="N112" i="2" s="1"/>
  <c r="N51" i="2" s="1"/>
  <c r="O31" i="2"/>
  <c r="H36" i="2"/>
  <c r="J49" i="2"/>
  <c r="J32" i="2"/>
  <c r="J50" i="2" s="1"/>
  <c r="P31" i="2"/>
  <c r="P27" i="2"/>
  <c r="O28" i="2"/>
  <c r="R40" i="2"/>
  <c r="T3" i="2" l="1"/>
  <c r="T2" i="2"/>
  <c r="T4" i="2"/>
  <c r="T40" i="2"/>
  <c r="V10" i="2"/>
  <c r="U26" i="2"/>
  <c r="X43" i="2"/>
  <c r="R100" i="2"/>
  <c r="S3" i="2"/>
  <c r="S4" i="2"/>
  <c r="S2" i="2"/>
  <c r="R92" i="2"/>
  <c r="R110" i="2"/>
  <c r="R93" i="2"/>
  <c r="R107" i="2"/>
  <c r="Q111" i="2"/>
  <c r="R103" i="2"/>
  <c r="R102" i="2"/>
  <c r="R108" i="2"/>
  <c r="R98" i="2"/>
  <c r="R104" i="2"/>
  <c r="R94" i="2"/>
  <c r="R95" i="2"/>
  <c r="R97" i="2"/>
  <c r="R101" i="2"/>
  <c r="R99" i="2"/>
  <c r="R109" i="2"/>
  <c r="Q27" i="2"/>
  <c r="P28" i="2"/>
  <c r="Q31" i="2"/>
  <c r="O32" i="2"/>
  <c r="O50" i="2" s="1"/>
  <c r="O49" i="2"/>
  <c r="H38" i="2"/>
  <c r="H53" i="2"/>
  <c r="S40" i="2"/>
  <c r="U2" i="2" l="1"/>
  <c r="U4" i="2"/>
  <c r="U3" i="2"/>
  <c r="U40" i="2"/>
  <c r="W10" i="2"/>
  <c r="V26" i="2"/>
  <c r="S94" i="2"/>
  <c r="T94" i="2" s="1"/>
  <c r="U94" i="2" s="1"/>
  <c r="S91" i="2"/>
  <c r="T91" i="2" s="1"/>
  <c r="U91" i="2" s="1"/>
  <c r="S101" i="2"/>
  <c r="T101" i="2" s="1"/>
  <c r="U101" i="2" s="1"/>
  <c r="S97" i="2"/>
  <c r="T97" i="2" s="1"/>
  <c r="U97" i="2" s="1"/>
  <c r="S95" i="2"/>
  <c r="T95" i="2" s="1"/>
  <c r="U95" i="2" s="1"/>
  <c r="S104" i="2"/>
  <c r="T104" i="2" s="1"/>
  <c r="U104" i="2" s="1"/>
  <c r="S108" i="2"/>
  <c r="T108" i="2" s="1"/>
  <c r="U108" i="2" s="1"/>
  <c r="S102" i="2"/>
  <c r="T102" i="2" s="1"/>
  <c r="U102" i="2" s="1"/>
  <c r="S98" i="2"/>
  <c r="T98" i="2" s="1"/>
  <c r="U98" i="2" s="1"/>
  <c r="S103" i="2"/>
  <c r="T103" i="2" s="1"/>
  <c r="S107" i="2"/>
  <c r="T107" i="2" s="1"/>
  <c r="R111" i="2"/>
  <c r="S93" i="2"/>
  <c r="T93" i="2" s="1"/>
  <c r="S110" i="2"/>
  <c r="T110" i="2" s="1"/>
  <c r="S109" i="2"/>
  <c r="T109" i="2" s="1"/>
  <c r="U109" i="2" s="1"/>
  <c r="S92" i="2"/>
  <c r="T92" i="2" s="1"/>
  <c r="U92" i="2" s="1"/>
  <c r="S99" i="2"/>
  <c r="T99" i="2" s="1"/>
  <c r="U99" i="2" s="1"/>
  <c r="S100" i="2"/>
  <c r="T100" i="2" s="1"/>
  <c r="U100" i="2" s="1"/>
  <c r="I33" i="2"/>
  <c r="R31" i="2"/>
  <c r="P32" i="2"/>
  <c r="P50" i="2" s="1"/>
  <c r="P49" i="2"/>
  <c r="R27" i="2"/>
  <c r="Q28" i="2"/>
  <c r="V4" i="2" l="1"/>
  <c r="V2" i="2"/>
  <c r="V3" i="2"/>
  <c r="V40" i="2"/>
  <c r="V102" i="2" s="1"/>
  <c r="X10" i="2"/>
  <c r="X26" i="2" s="1"/>
  <c r="W26" i="2"/>
  <c r="U107" i="2"/>
  <c r="V107" i="2" s="1"/>
  <c r="U93" i="2"/>
  <c r="U103" i="2"/>
  <c r="T111" i="2"/>
  <c r="U110" i="2"/>
  <c r="S31" i="2"/>
  <c r="S111" i="2"/>
  <c r="S27" i="2"/>
  <c r="R28" i="2"/>
  <c r="Q49" i="2"/>
  <c r="Q32" i="2"/>
  <c r="Q50" i="2" s="1"/>
  <c r="I34" i="2"/>
  <c r="I35" i="2" s="1"/>
  <c r="X2" i="2" l="1"/>
  <c r="X3" i="2"/>
  <c r="X40" i="2"/>
  <c r="X4" i="2"/>
  <c r="V110" i="2"/>
  <c r="W2" i="2"/>
  <c r="W4" i="2"/>
  <c r="W40" i="2"/>
  <c r="W102" i="2" s="1"/>
  <c r="X102" i="2" s="1"/>
  <c r="W3" i="2"/>
  <c r="U111" i="2"/>
  <c r="V99" i="2"/>
  <c r="W99" i="2" s="1"/>
  <c r="X99" i="2" s="1"/>
  <c r="V103" i="2"/>
  <c r="W103" i="2" s="1"/>
  <c r="X103" i="2" s="1"/>
  <c r="V95" i="2"/>
  <c r="W95" i="2" s="1"/>
  <c r="X95" i="2" s="1"/>
  <c r="V108" i="2"/>
  <c r="W108" i="2" s="1"/>
  <c r="X108" i="2" s="1"/>
  <c r="V91" i="2"/>
  <c r="W91" i="2" s="1"/>
  <c r="X91" i="2" s="1"/>
  <c r="V100" i="2"/>
  <c r="V98" i="2"/>
  <c r="V92" i="2"/>
  <c r="V101" i="2"/>
  <c r="V93" i="2"/>
  <c r="V109" i="2"/>
  <c r="V94" i="2"/>
  <c r="V104" i="2"/>
  <c r="V97" i="2"/>
  <c r="S28" i="2"/>
  <c r="S32" i="2" s="1"/>
  <c r="S50" i="2" s="1"/>
  <c r="T27" i="2"/>
  <c r="T31" i="2"/>
  <c r="W107" i="2"/>
  <c r="I36" i="2"/>
  <c r="R49" i="2"/>
  <c r="R32" i="2"/>
  <c r="R50" i="2" s="1"/>
  <c r="W97" i="2" l="1"/>
  <c r="X97" i="2" s="1"/>
  <c r="V111" i="2"/>
  <c r="W110" i="2"/>
  <c r="X110" i="2" s="1"/>
  <c r="S49" i="2"/>
  <c r="W104" i="2"/>
  <c r="X104" i="2" s="1"/>
  <c r="W94" i="2"/>
  <c r="X94" i="2" s="1"/>
  <c r="W109" i="2"/>
  <c r="X109" i="2" s="1"/>
  <c r="W93" i="2"/>
  <c r="X93" i="2" s="1"/>
  <c r="W101" i="2"/>
  <c r="X101" i="2" s="1"/>
  <c r="W92" i="2"/>
  <c r="X92" i="2" s="1"/>
  <c r="W98" i="2"/>
  <c r="X98" i="2" s="1"/>
  <c r="W100" i="2"/>
  <c r="X100" i="2" s="1"/>
  <c r="W111" i="2"/>
  <c r="X107" i="2"/>
  <c r="X111" i="2" s="1"/>
  <c r="U31" i="2"/>
  <c r="T28" i="2"/>
  <c r="U27" i="2"/>
  <c r="I38" i="2"/>
  <c r="I53" i="2"/>
  <c r="U28" i="2" l="1"/>
  <c r="V27" i="2"/>
  <c r="T49" i="2"/>
  <c r="T32" i="2"/>
  <c r="T50" i="2" s="1"/>
  <c r="V31" i="2"/>
  <c r="J33" i="2"/>
  <c r="W31" i="2" l="1"/>
  <c r="X31" i="2"/>
  <c r="W27" i="2"/>
  <c r="V28" i="2"/>
  <c r="U49" i="2"/>
  <c r="U32" i="2"/>
  <c r="U50" i="2" s="1"/>
  <c r="J34" i="2"/>
  <c r="J35" i="2" s="1"/>
  <c r="O33" i="2"/>
  <c r="O34" i="2" s="1"/>
  <c r="V49" i="2" l="1"/>
  <c r="V32" i="2"/>
  <c r="V50" i="2" s="1"/>
  <c r="X27" i="2"/>
  <c r="X28" i="2" s="1"/>
  <c r="W28" i="2"/>
  <c r="O35" i="2"/>
  <c r="O36" i="2" s="1"/>
  <c r="O89" i="2" s="1"/>
  <c r="O105" i="2" s="1"/>
  <c r="O112" i="2" s="1"/>
  <c r="O51" i="2" s="1"/>
  <c r="W49" i="2" l="1"/>
  <c r="W32" i="2"/>
  <c r="W50" i="2" s="1"/>
  <c r="X32" i="2"/>
  <c r="X50" i="2" s="1"/>
  <c r="X49" i="2"/>
  <c r="J36" i="2"/>
  <c r="J38" i="2" s="1"/>
  <c r="O38" i="2"/>
  <c r="J53" i="2" l="1"/>
  <c r="O53" i="2" s="1"/>
  <c r="P33" i="2" s="1"/>
  <c r="P34" i="2" s="1"/>
  <c r="P35" i="2" s="1"/>
  <c r="P36" i="2" l="1"/>
  <c r="P89" i="2" s="1"/>
  <c r="P105" i="2" s="1"/>
  <c r="P112" i="2" s="1"/>
  <c r="P51" i="2" s="1"/>
  <c r="P38" i="2" l="1"/>
  <c r="P53" i="2"/>
  <c r="Q33" i="2" l="1"/>
  <c r="Q34" i="2" s="1"/>
  <c r="Q35" i="2" l="1"/>
  <c r="Q36" i="2" s="1"/>
  <c r="Q89" i="2" l="1"/>
  <c r="Q105" i="2" s="1"/>
  <c r="Q112" i="2" s="1"/>
  <c r="Q51" i="2" s="1"/>
  <c r="Q38" i="2"/>
  <c r="Q53" i="2"/>
  <c r="R33" i="2" s="1"/>
  <c r="R34" i="2" s="1"/>
  <c r="R35" i="2" s="1"/>
  <c r="R36" i="2" s="1"/>
  <c r="R89" i="2" l="1"/>
  <c r="R105" i="2" s="1"/>
  <c r="R112" i="2" s="1"/>
  <c r="R51" i="2" s="1"/>
  <c r="R53" i="2"/>
  <c r="S33" i="2" s="1"/>
  <c r="S34" i="2" s="1"/>
  <c r="R38" i="2"/>
  <c r="S35" i="2" l="1"/>
  <c r="S36" i="2" s="1"/>
  <c r="S38" i="2" l="1"/>
  <c r="S89" i="2"/>
  <c r="S105" i="2" s="1"/>
  <c r="S112" i="2" s="1"/>
  <c r="S51" i="2" s="1"/>
  <c r="S53" i="2"/>
  <c r="T33" i="2" s="1"/>
  <c r="T34" i="2" s="1"/>
  <c r="T35" i="2" l="1"/>
  <c r="T36" i="2"/>
  <c r="T89" i="2" l="1"/>
  <c r="T105" i="2" s="1"/>
  <c r="T112" i="2" s="1"/>
  <c r="T51" i="2" s="1"/>
  <c r="T38" i="2"/>
  <c r="T53" i="2"/>
  <c r="U33" i="2" s="1"/>
  <c r="U34" i="2" s="1"/>
  <c r="U35" i="2" l="1"/>
  <c r="U36" i="2" s="1"/>
  <c r="U53" i="2" l="1"/>
  <c r="V33" i="2" s="1"/>
  <c r="V34" i="2" s="1"/>
  <c r="U89" i="2"/>
  <c r="U105" i="2" s="1"/>
  <c r="U112" i="2" s="1"/>
  <c r="U51" i="2" s="1"/>
  <c r="U38" i="2"/>
  <c r="V35" i="2" l="1"/>
  <c r="V36" i="2" s="1"/>
  <c r="V89" i="2" l="1"/>
  <c r="V105" i="2" s="1"/>
  <c r="V112" i="2" s="1"/>
  <c r="V51" i="2" s="1"/>
  <c r="V38" i="2"/>
  <c r="V53" i="2"/>
  <c r="W33" i="2" s="1"/>
  <c r="W34" i="2" s="1"/>
  <c r="W35" i="2" l="1"/>
  <c r="W36" i="2" s="1"/>
  <c r="W53" i="2" l="1"/>
  <c r="W38" i="2"/>
  <c r="W89" i="2"/>
  <c r="W105" i="2" s="1"/>
  <c r="W112" i="2" s="1"/>
  <c r="W51" i="2" s="1"/>
  <c r="X33" i="2" l="1"/>
  <c r="X34" i="2" s="1"/>
  <c r="X35" i="2" l="1"/>
  <c r="X36" i="2" s="1"/>
  <c r="X89" i="2" l="1"/>
  <c r="X105" i="2" s="1"/>
  <c r="X112" i="2" s="1"/>
  <c r="X38" i="2"/>
  <c r="Y36" i="2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AA42" i="2" s="1"/>
  <c r="X53" i="2"/>
  <c r="Y112" i="2" l="1"/>
  <c r="Z112" i="2" s="1"/>
  <c r="AA112" i="2" s="1"/>
  <c r="AB112" i="2" s="1"/>
  <c r="AC112" i="2" s="1"/>
  <c r="AD112" i="2" s="1"/>
  <c r="AE112" i="2" s="1"/>
  <c r="AF112" i="2" s="1"/>
  <c r="AG112" i="2" s="1"/>
  <c r="AH112" i="2" s="1"/>
  <c r="AI112" i="2" s="1"/>
  <c r="AJ112" i="2" s="1"/>
  <c r="AK112" i="2" s="1"/>
  <c r="AL112" i="2" s="1"/>
  <c r="AM112" i="2" s="1"/>
  <c r="AN112" i="2" s="1"/>
  <c r="AO112" i="2" s="1"/>
  <c r="AP112" i="2" s="1"/>
  <c r="AQ112" i="2" s="1"/>
  <c r="AR112" i="2" s="1"/>
  <c r="AS112" i="2" s="1"/>
  <c r="AT112" i="2" s="1"/>
  <c r="AU112" i="2" s="1"/>
  <c r="AV112" i="2" s="1"/>
  <c r="AW112" i="2" s="1"/>
  <c r="AX112" i="2" s="1"/>
  <c r="AY112" i="2" s="1"/>
  <c r="AZ112" i="2" s="1"/>
  <c r="BA112" i="2" s="1"/>
  <c r="BB112" i="2" s="1"/>
  <c r="BC112" i="2" s="1"/>
  <c r="BD112" i="2" s="1"/>
  <c r="BE112" i="2" s="1"/>
  <c r="BF112" i="2" s="1"/>
  <c r="BG112" i="2" s="1"/>
  <c r="BH112" i="2" s="1"/>
  <c r="BI112" i="2" s="1"/>
  <c r="BJ112" i="2" s="1"/>
  <c r="BK112" i="2" s="1"/>
  <c r="BL112" i="2" s="1"/>
  <c r="BM112" i="2" s="1"/>
  <c r="BN112" i="2" s="1"/>
  <c r="BO112" i="2" s="1"/>
  <c r="BP112" i="2" s="1"/>
  <c r="BQ112" i="2" s="1"/>
  <c r="BR112" i="2" s="1"/>
  <c r="BS112" i="2" s="1"/>
  <c r="BT112" i="2" s="1"/>
  <c r="BU112" i="2" s="1"/>
  <c r="BV112" i="2" s="1"/>
  <c r="BW112" i="2" s="1"/>
  <c r="BX112" i="2" s="1"/>
  <c r="BY112" i="2" s="1"/>
  <c r="BZ112" i="2" s="1"/>
  <c r="CA112" i="2" s="1"/>
  <c r="CB112" i="2" s="1"/>
  <c r="CC112" i="2" s="1"/>
  <c r="CD112" i="2" s="1"/>
  <c r="CE112" i="2" s="1"/>
  <c r="CF112" i="2" s="1"/>
  <c r="CG112" i="2" s="1"/>
  <c r="CH112" i="2" s="1"/>
  <c r="CI112" i="2" s="1"/>
  <c r="CJ112" i="2" s="1"/>
  <c r="CK112" i="2" s="1"/>
  <c r="CL112" i="2" s="1"/>
  <c r="CM112" i="2" s="1"/>
  <c r="CN112" i="2" s="1"/>
  <c r="CO112" i="2" s="1"/>
  <c r="CP112" i="2" s="1"/>
  <c r="CQ112" i="2" s="1"/>
  <c r="CR112" i="2" s="1"/>
  <c r="CS112" i="2" s="1"/>
  <c r="CT112" i="2" s="1"/>
  <c r="CU112" i="2" s="1"/>
  <c r="CV112" i="2" s="1"/>
  <c r="CW112" i="2" s="1"/>
  <c r="CX112" i="2" s="1"/>
  <c r="CY112" i="2" s="1"/>
  <c r="CZ112" i="2" s="1"/>
  <c r="DA112" i="2" s="1"/>
  <c r="DB112" i="2" s="1"/>
  <c r="DC112" i="2" s="1"/>
  <c r="DD112" i="2" s="1"/>
  <c r="DE112" i="2" s="1"/>
  <c r="DF112" i="2" s="1"/>
  <c r="DG112" i="2" s="1"/>
  <c r="DH112" i="2" s="1"/>
  <c r="DI112" i="2" s="1"/>
  <c r="DJ112" i="2" s="1"/>
  <c r="DK112" i="2" s="1"/>
  <c r="DL112" i="2" s="1"/>
  <c r="AA43" i="2" s="1"/>
  <c r="AA44" i="2" s="1"/>
  <c r="X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tc={BEB33B97-0A35-4D36-A324-3F347D60BBF8}</author>
    <author>tc={1090F980-73FF-4CFA-9C78-7BBA6D559759}</author>
    <author>tc={2DC5972C-B77A-4237-85F2-0DBD4E83C3B7}</author>
    <author>tc={C500BEB0-5DD6-411C-BB22-78295064A10F}</author>
    <author>tc={549A204D-10BB-432F-9377-F289F3FEB7FA}</author>
    <author>tc={08F442A1-E94E-4DF7-A297-B168EB7FF1BA}</author>
  </authors>
  <commentList>
    <comment ref="R9" authorId="0" shapeId="0" xr:uid="{BEB33B97-0A35-4D36-A324-3F347D60BBF8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</t>
      </text>
    </comment>
    <comment ref="R11" authorId="1" shapeId="0" xr:uid="{1090F980-73FF-4CFA-9C78-7BBA6D55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</t>
      </text>
    </comment>
    <comment ref="O31" authorId="2" shapeId="0" xr:uid="{2DC5972C-B77A-4237-85F2-0DBD4E83C3B7}">
      <text>
        <t>[Threaded comment]
Your version of Excel allows you to read this threaded comment; however, any edits to it will get removed if the file is opened in a newer version of Excel. Learn more: https://go.microsoft.com/fwlink/?linkid=870924
Comment:
    25.4b - 26.5b non-GAAP OPEX</t>
      </text>
    </comment>
    <comment ref="O37" authorId="3" shapeId="0" xr:uid="{C500BEB0-5DD6-411C-BB22-78295064A10F}">
      <text>
        <t>[Threaded comment]
Your version of Excel allows you to read this threaded comment; however, any edits to it will get removed if the file is opened in a newer version of Excel. Learn more: https://go.microsoft.com/fwlink/?linkid=870924
Comment:
    2.53b guidance</t>
      </text>
    </comment>
    <comment ref="O38" authorId="4" shapeId="0" xr:uid="{549A204D-10BB-432F-9377-F289F3FEB7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Non-gaap guidance 8.88 to 9.03</t>
      </text>
    </comment>
    <comment ref="O49" authorId="5" shapeId="0" xr:uid="{08F442A1-E94E-4DF7-A297-B168EB7FF1BA}">
      <text>
        <t>[Threaded comment]
Your version of Excel allows you to read this threaded comment; however, any edits to it will get removed if the file is opened in a newer version of Excel. Learn more: https://go.microsoft.com/fwlink/?linkid=870924
Comment:
    82.5% non GAAP gross margin</t>
      </text>
    </comment>
  </commentList>
</comments>
</file>

<file path=xl/sharedStrings.xml><?xml version="1.0" encoding="utf-8"?>
<sst xmlns="http://schemas.openxmlformats.org/spreadsheetml/2006/main" count="138" uniqueCount="121">
  <si>
    <t>Price</t>
  </si>
  <si>
    <t>Shares</t>
  </si>
  <si>
    <t>MC</t>
  </si>
  <si>
    <t>Cash</t>
  </si>
  <si>
    <t>Debt</t>
  </si>
  <si>
    <t>EV</t>
  </si>
  <si>
    <t>COGS</t>
  </si>
  <si>
    <t>Sales</t>
  </si>
  <si>
    <t>Gross Profit</t>
  </si>
  <si>
    <t>SG&amp;A</t>
  </si>
  <si>
    <t>R&amp;D</t>
  </si>
  <si>
    <t>OPEX</t>
  </si>
  <si>
    <t>Operating Income</t>
  </si>
  <si>
    <t>Interest</t>
  </si>
  <si>
    <t>Pretax Income</t>
  </si>
  <si>
    <t>Tax</t>
  </si>
  <si>
    <t>Net Income</t>
  </si>
  <si>
    <t>EPS</t>
  </si>
  <si>
    <t>Gross Margin</t>
  </si>
  <si>
    <t>Operating Margin</t>
  </si>
  <si>
    <t>FCF Margin</t>
  </si>
  <si>
    <t>CFFO</t>
  </si>
  <si>
    <t>FCF</t>
  </si>
  <si>
    <t>Net Cash</t>
  </si>
  <si>
    <t>Q124</t>
  </si>
  <si>
    <t>Q224</t>
  </si>
  <si>
    <t>Q324</t>
  </si>
  <si>
    <t>Q424</t>
  </si>
  <si>
    <t>Q125</t>
  </si>
  <si>
    <t>Q225</t>
  </si>
  <si>
    <t>Revenue Growth q/q</t>
  </si>
  <si>
    <t>Revenue Growth y/y</t>
  </si>
  <si>
    <t>Q325</t>
  </si>
  <si>
    <t>Q425</t>
  </si>
  <si>
    <t>ROIC</t>
  </si>
  <si>
    <t>Maturity</t>
  </si>
  <si>
    <t>Discount</t>
  </si>
  <si>
    <t>NPV</t>
  </si>
  <si>
    <t>Diff</t>
  </si>
  <si>
    <t>Keytruda</t>
  </si>
  <si>
    <t>Gardasil</t>
  </si>
  <si>
    <t>"20b 2024-2028 capex"</t>
  </si>
  <si>
    <t>Januvia</t>
  </si>
  <si>
    <t>Royalties</t>
  </si>
  <si>
    <t>ProQuad/Varivax</t>
  </si>
  <si>
    <t>Hospital Acute Care</t>
  </si>
  <si>
    <t>Cardiovascular</t>
  </si>
  <si>
    <t>Other</t>
  </si>
  <si>
    <t>Oncology Other</t>
  </si>
  <si>
    <t>Vaccine Other</t>
  </si>
  <si>
    <t>Virology</t>
  </si>
  <si>
    <t>Belsomra</t>
  </si>
  <si>
    <t>Immunology</t>
  </si>
  <si>
    <t>Janumet</t>
  </si>
  <si>
    <t>Other Pharma</t>
  </si>
  <si>
    <t>Livestock</t>
  </si>
  <si>
    <t>Companion Animal</t>
  </si>
  <si>
    <t>"expanding manufacturing cap for oncology, vaccines, and animal health"</t>
  </si>
  <si>
    <t>Oncology % of R</t>
  </si>
  <si>
    <t>Vaccine % of R</t>
  </si>
  <si>
    <t>Animal Health % of R</t>
  </si>
  <si>
    <t>Keytruda Growth</t>
  </si>
  <si>
    <t>Januvia Growth</t>
  </si>
  <si>
    <t>Animal Health Growth</t>
  </si>
  <si>
    <t>Gardasil Growth</t>
  </si>
  <si>
    <t>ProQuad Growth</t>
  </si>
  <si>
    <t>Bridion</t>
  </si>
  <si>
    <t>AR</t>
  </si>
  <si>
    <t>Inventories</t>
  </si>
  <si>
    <t>Other Current Assets</t>
  </si>
  <si>
    <t>Investments</t>
  </si>
  <si>
    <t>PP&amp;E</t>
  </si>
  <si>
    <t>Land</t>
  </si>
  <si>
    <t>Buildings</t>
  </si>
  <si>
    <t>Machinery, Equipment</t>
  </si>
  <si>
    <t>Construction In Progress</t>
  </si>
  <si>
    <t>Accumulated Depreciation</t>
  </si>
  <si>
    <t>GW</t>
  </si>
  <si>
    <t>Other Intangibles</t>
  </si>
  <si>
    <t>Other Assets</t>
  </si>
  <si>
    <t>Loans Payable</t>
  </si>
  <si>
    <t>Trade AP</t>
  </si>
  <si>
    <t>Accured Current Liabilities</t>
  </si>
  <si>
    <t>Income Tax Payable</t>
  </si>
  <si>
    <t>Dividends Payable</t>
  </si>
  <si>
    <t>Long-Term Debt</t>
  </si>
  <si>
    <t>Short-term Investments</t>
  </si>
  <si>
    <t>DT</t>
  </si>
  <si>
    <t>Other Noncurrent Liabiltiies</t>
  </si>
  <si>
    <t>SE</t>
  </si>
  <si>
    <t>DSO</t>
  </si>
  <si>
    <t>Assets</t>
  </si>
  <si>
    <t>L+SE</t>
  </si>
  <si>
    <t>Liabilities</t>
  </si>
  <si>
    <t>MV of PP&amp;E</t>
  </si>
  <si>
    <t>Winrevair</t>
  </si>
  <si>
    <t>Model NI</t>
  </si>
  <si>
    <t>Reported NI</t>
  </si>
  <si>
    <t>D&amp;A</t>
  </si>
  <si>
    <t>Income from Investments</t>
  </si>
  <si>
    <t>R&amp;D asset acquisitions</t>
  </si>
  <si>
    <t>Noncurrent Liabilities</t>
  </si>
  <si>
    <t>CAPEX</t>
  </si>
  <si>
    <t>Purchase Securities</t>
  </si>
  <si>
    <t>Sale of Securities</t>
  </si>
  <si>
    <t>Acquisitions</t>
  </si>
  <si>
    <t>Net Cash Used in Investing</t>
  </si>
  <si>
    <t>Asset Impairment</t>
  </si>
  <si>
    <t>"animal health more than double revenue by mid 2030s"</t>
  </si>
  <si>
    <t>"annual sales by mid 2030s opportunity oncology: &gt;25B, cardiometabolic: 15B, Immunology: &gt;5B, HIV: &gt;5B, Ophthalmology: multibillion"</t>
  </si>
  <si>
    <t>HIV</t>
  </si>
  <si>
    <t>"keytruda, gardasil, proquad expires in 2028"</t>
  </si>
  <si>
    <t>SBC</t>
  </si>
  <si>
    <t>Main</t>
  </si>
  <si>
    <t>Name</t>
  </si>
  <si>
    <t>Indication</t>
  </si>
  <si>
    <t>MOA</t>
  </si>
  <si>
    <t>Economics</t>
  </si>
  <si>
    <t>IP</t>
  </si>
  <si>
    <t>Approved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</si>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</sst>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3" fontId="5" fillId="0" borderId="0" xfId="1" applyNumberFormat="1" applyFont="1"/>
    <xf numFmtId="1" fontId="2" fillId="0" borderId="0" xfId="0" applyNumberFormat="1" applyFont="1"/>
    <xf numFmtId="9" fontId="2" fillId="0" borderId="0" xfId="0" applyNumberFormat="1" applyFont="1"/>
    <xf numFmtId="3" fontId="3" fillId="0" borderId="0" xfId="0" applyNumberFormat="1" applyFont="1"/>
    <xf numFmtId="9" fontId="3" fillId="0" borderId="0" xfId="0" applyNumberFormat="1" applyFont="1"/>
    <xf numFmtId="10" fontId="2" fillId="0" borderId="0" xfId="0" applyNumberFormat="1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19050</xdr:rowOff>
    </xdr:from>
    <xdr:to>
      <xdr:col>14</xdr:col>
      <xdr:colOff>19050</xdr:colOff>
      <xdr:row>123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1497DE-044E-A07D-B786-BB45239EDF63}"/>
            </a:ext>
          </a:extLst>
        </xdr:cNvPr>
        <xdr:cNvCxnSpPr/>
      </xdr:nvCxnSpPr>
      <xdr:spPr>
        <a:xfrm>
          <a:off x="8791575" y="19050"/>
          <a:ext cx="19050" cy="22707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0</xdr:rowOff>
    </xdr:from>
    <xdr:to>
      <xdr:col>7</xdr:col>
      <xdr:colOff>28575</xdr:colOff>
      <xdr:row>76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080C8C-399D-427E-8E7F-364211E0ABC0}"/>
            </a:ext>
          </a:extLst>
        </xdr:cNvPr>
        <xdr:cNvCxnSpPr/>
      </xdr:nvCxnSpPr>
      <xdr:spPr>
        <a:xfrm>
          <a:off x="4162425" y="0"/>
          <a:ext cx="19050" cy="6391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3AE884F7-F7CD-4229-B1B0-CD6E7AA7897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9" dT="2025-05-30T23:08:53.39" personId="{3AE884F7-F7CD-4229-B1B0-CD6E7AA78978}" id="{BEB33B97-0A35-4D36-A324-3F347D60BBF8}">
    <text>expire</text>
  </threadedComment>
  <threadedComment ref="R11" dT="2025-05-30T23:08:53.39" personId="{3AE884F7-F7CD-4229-B1B0-CD6E7AA78978}" id="{1090F980-73FF-4CFA-9C78-7BBA6D559759}">
    <text>expire</text>
  </threadedComment>
  <threadedComment ref="O31" dT="2025-05-05T05:56:51.71" personId="{3AE884F7-F7CD-4229-B1B0-CD6E7AA78978}" id="{2DC5972C-B77A-4237-85F2-0DBD4E83C3B7}">
    <text>25.4b - 26.5b non-GAAP OPEX</text>
  </threadedComment>
  <threadedComment ref="O37" dT="2025-05-05T05:57:34.49" personId="{3AE884F7-F7CD-4229-B1B0-CD6E7AA78978}" id="{C500BEB0-5DD6-411C-BB22-78295064A10F}">
    <text>2.53b guidance</text>
  </threadedComment>
  <threadedComment ref="O38" dT="2025-05-05T05:57:48.11" personId="{3AE884F7-F7CD-4229-B1B0-CD6E7AA78978}" id="{549A204D-10BB-432F-9377-F289F3FEB7FA}">
    <text>Non-gaap guidance 8.88 to 9.03</text>
  </threadedComment>
  <threadedComment ref="O49" dT="2025-05-05T05:56:26.79" personId="{3AE884F7-F7CD-4229-B1B0-CD6E7AA78978}" id="{08F442A1-E94E-4DF7-A297-B168EB7FF1BA}">
    <text>82.5% non GAAP gross margin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AD47-A04E-4917-B620-7B6E06119616}">
  <dimension ref="A1:Q19"/>
  <sheetViews>
    <sheetView zoomScale="115" zoomScaleNormal="115" workbookViewId="0">
      <selection activeCell="I20" sqref="I20"/>
    </sheetView>
  </sheetViews>
  <sheetFormatPr defaultRowHeight="12.75" x14ac:dyDescent="0.2"/>
  <cols>
    <col min="1" max="1" width="3.7109375" style="2" customWidth="1"/>
    <col min="2" max="2" width="17.42578125" style="2" customWidth="1"/>
    <col min="3" max="3" width="14.42578125" style="2" customWidth="1"/>
    <col min="4" max="4" width="10.42578125" style="2" customWidth="1"/>
    <col min="5" max="5" width="10.7109375" style="2" customWidth="1"/>
    <col min="6" max="6" width="10" style="2" customWidth="1"/>
    <col min="7" max="16384" width="9.140625" style="2"/>
  </cols>
  <sheetData>
    <row r="1" spans="1:17" x14ac:dyDescent="0.2">
      <c r="A1" s="1"/>
    </row>
    <row r="2" spans="1:17" x14ac:dyDescent="0.2">
      <c r="O2" s="2" t="s">
        <v>0</v>
      </c>
      <c r="P2" s="3">
        <v>81</v>
      </c>
    </row>
    <row r="3" spans="1:17" x14ac:dyDescent="0.2">
      <c r="B3" s="17" t="s">
        <v>114</v>
      </c>
      <c r="C3" s="18" t="s">
        <v>115</v>
      </c>
      <c r="D3" s="18" t="s">
        <v>119</v>
      </c>
      <c r="E3" s="18" t="s">
        <v>116</v>
      </c>
      <c r="F3" s="18" t="s">
        <v>117</v>
      </c>
      <c r="G3" s="19" t="s">
        <v>118</v>
      </c>
      <c r="O3" s="2" t="s">
        <v>1</v>
      </c>
      <c r="P3" s="4">
        <v>2511.0309999999999</v>
      </c>
      <c r="Q3" s="2" t="s">
        <v>28</v>
      </c>
    </row>
    <row r="4" spans="1:17" x14ac:dyDescent="0.2">
      <c r="B4" s="11"/>
      <c r="C4" s="12"/>
      <c r="D4" s="12"/>
      <c r="E4" s="12"/>
      <c r="F4" s="12"/>
      <c r="G4" s="13"/>
      <c r="O4" s="2" t="s">
        <v>2</v>
      </c>
      <c r="P4" s="4">
        <f>P3*P2</f>
        <v>203393.511</v>
      </c>
    </row>
    <row r="5" spans="1:17" x14ac:dyDescent="0.2">
      <c r="B5" s="11"/>
      <c r="C5" s="12"/>
      <c r="D5" s="12"/>
      <c r="E5" s="12"/>
      <c r="F5" s="12"/>
      <c r="G5" s="13"/>
      <c r="O5" s="2" t="s">
        <v>3</v>
      </c>
      <c r="P5" s="4">
        <f>8629+599</f>
        <v>9228</v>
      </c>
      <c r="Q5" s="2" t="s">
        <v>28</v>
      </c>
    </row>
    <row r="6" spans="1:17" x14ac:dyDescent="0.2">
      <c r="B6" s="11"/>
      <c r="C6" s="12"/>
      <c r="D6" s="12"/>
      <c r="E6" s="12"/>
      <c r="F6" s="12"/>
      <c r="G6" s="13"/>
      <c r="O6" s="2" t="s">
        <v>4</v>
      </c>
      <c r="P6" s="4">
        <f>33484+1409+6655</f>
        <v>41548</v>
      </c>
      <c r="Q6" s="2" t="s">
        <v>28</v>
      </c>
    </row>
    <row r="7" spans="1:17" x14ac:dyDescent="0.2">
      <c r="B7" s="11"/>
      <c r="C7" s="12"/>
      <c r="D7" s="12"/>
      <c r="E7" s="12"/>
      <c r="F7" s="12"/>
      <c r="G7" s="13"/>
      <c r="O7" s="2" t="s">
        <v>5</v>
      </c>
      <c r="P7" s="4">
        <f>P4+P6-P5</f>
        <v>235713.511</v>
      </c>
    </row>
    <row r="8" spans="1:17" x14ac:dyDescent="0.2">
      <c r="B8" s="11"/>
      <c r="C8" s="12"/>
      <c r="D8" s="12"/>
      <c r="E8" s="12"/>
      <c r="F8" s="12"/>
      <c r="G8" s="13"/>
    </row>
    <row r="9" spans="1:17" x14ac:dyDescent="0.2">
      <c r="B9" s="11"/>
      <c r="C9" s="12"/>
      <c r="D9" s="12"/>
      <c r="E9" s="12"/>
      <c r="F9" s="12"/>
      <c r="G9" s="13"/>
      <c r="J9" s="2" t="s">
        <v>41</v>
      </c>
    </row>
    <row r="10" spans="1:17" x14ac:dyDescent="0.2">
      <c r="B10" s="20"/>
      <c r="C10" s="21"/>
      <c r="D10" s="18" t="s">
        <v>120</v>
      </c>
      <c r="E10" s="21"/>
      <c r="F10" s="21"/>
      <c r="G10" s="22"/>
      <c r="J10" s="2" t="s">
        <v>57</v>
      </c>
    </row>
    <row r="11" spans="1:17" x14ac:dyDescent="0.2">
      <c r="B11" s="11"/>
      <c r="C11" s="12"/>
      <c r="D11" s="12"/>
      <c r="E11" s="12"/>
      <c r="F11" s="12"/>
      <c r="G11" s="13"/>
      <c r="J11" s="2" t="s">
        <v>108</v>
      </c>
    </row>
    <row r="12" spans="1:17" x14ac:dyDescent="0.2">
      <c r="B12" s="11"/>
      <c r="C12" s="12"/>
      <c r="D12" s="12"/>
      <c r="E12" s="12"/>
      <c r="F12" s="12"/>
      <c r="G12" s="13"/>
      <c r="J12" s="2" t="s">
        <v>109</v>
      </c>
    </row>
    <row r="13" spans="1:17" x14ac:dyDescent="0.2">
      <c r="B13" s="11"/>
      <c r="C13" s="12"/>
      <c r="D13" s="12"/>
      <c r="E13" s="12"/>
      <c r="F13" s="12"/>
      <c r="G13" s="13"/>
      <c r="J13" s="2" t="s">
        <v>111</v>
      </c>
    </row>
    <row r="14" spans="1:17" x14ac:dyDescent="0.2">
      <c r="B14" s="11"/>
      <c r="C14" s="12"/>
      <c r="D14" s="12"/>
      <c r="E14" s="12"/>
      <c r="F14" s="12"/>
      <c r="G14" s="13"/>
    </row>
    <row r="15" spans="1:17" x14ac:dyDescent="0.2">
      <c r="B15" s="11"/>
      <c r="C15" s="12"/>
      <c r="D15" s="12"/>
      <c r="E15" s="12"/>
      <c r="F15" s="12"/>
      <c r="G15" s="13"/>
    </row>
    <row r="16" spans="1:17" x14ac:dyDescent="0.2">
      <c r="B16" s="11"/>
      <c r="C16" s="12"/>
      <c r="D16" s="12"/>
      <c r="E16" s="12"/>
      <c r="F16" s="12"/>
      <c r="G16" s="13"/>
    </row>
    <row r="17" spans="2:7" x14ac:dyDescent="0.2">
      <c r="B17" s="11"/>
      <c r="C17" s="12"/>
      <c r="D17" s="12"/>
      <c r="E17" s="12"/>
      <c r="F17" s="12"/>
      <c r="G17" s="13"/>
    </row>
    <row r="18" spans="2:7" x14ac:dyDescent="0.2">
      <c r="B18" s="11"/>
      <c r="C18" s="12"/>
      <c r="D18" s="12"/>
      <c r="E18" s="12"/>
      <c r="F18" s="12"/>
      <c r="G18" s="13"/>
    </row>
    <row r="19" spans="2:7" x14ac:dyDescent="0.2">
      <c r="B19" s="14"/>
      <c r="C19" s="15"/>
      <c r="D19" s="15"/>
      <c r="E19" s="15"/>
      <c r="F19" s="15"/>
      <c r="G19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B29B-216E-4138-97AB-BEC15EFD45A3}">
  <dimension ref="A1:DM112"/>
  <sheetViews>
    <sheetView tabSelected="1" zoomScale="130" zoomScaleNormal="130" workbookViewId="0">
      <pane xSplit="2" ySplit="1" topLeftCell="Q23" activePane="bottomRight" state="frozen"/>
      <selection pane="topRight" activeCell="B1" sqref="B1"/>
      <selection pane="bottomLeft" activeCell="A2" sqref="A2"/>
      <selection pane="bottomRight" activeCell="X39" sqref="X39"/>
    </sheetView>
  </sheetViews>
  <sheetFormatPr defaultRowHeight="12.75" x14ac:dyDescent="0.2"/>
  <cols>
    <col min="1" max="1" width="5.28515625" style="4" customWidth="1"/>
    <col min="2" max="2" width="21.7109375" style="4" customWidth="1"/>
    <col min="3" max="13" width="9.140625" style="4"/>
    <col min="14" max="14" width="9.5703125" style="4" bestFit="1" customWidth="1"/>
    <col min="15" max="16384" width="9.140625" style="4"/>
  </cols>
  <sheetData>
    <row r="1" spans="1:24" ht="13.5" x14ac:dyDescent="0.25">
      <c r="A1" s="5" t="s">
        <v>113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32</v>
      </c>
      <c r="J1" s="4" t="s">
        <v>33</v>
      </c>
      <c r="L1" s="6">
        <v>2022</v>
      </c>
      <c r="M1" s="6">
        <f>L1+1</f>
        <v>2023</v>
      </c>
      <c r="N1" s="6">
        <f t="shared" ref="N1:S1" si="0">M1+1</f>
        <v>2024</v>
      </c>
      <c r="O1" s="6">
        <f t="shared" si="0"/>
        <v>2025</v>
      </c>
      <c r="P1" s="6">
        <f t="shared" si="0"/>
        <v>2026</v>
      </c>
      <c r="Q1" s="6">
        <f t="shared" si="0"/>
        <v>2027</v>
      </c>
      <c r="R1" s="6">
        <f t="shared" si="0"/>
        <v>2028</v>
      </c>
      <c r="S1" s="6">
        <f t="shared" si="0"/>
        <v>2029</v>
      </c>
      <c r="T1" s="6">
        <f t="shared" ref="T1" si="1">S1+1</f>
        <v>2030</v>
      </c>
      <c r="U1" s="6">
        <f t="shared" ref="U1" si="2">T1+1</f>
        <v>2031</v>
      </c>
      <c r="V1" s="6">
        <f t="shared" ref="V1" si="3">U1+1</f>
        <v>2032</v>
      </c>
      <c r="W1" s="6">
        <f t="shared" ref="W1" si="4">V1+1</f>
        <v>2033</v>
      </c>
      <c r="X1" s="6">
        <f t="shared" ref="X1" si="5">W1+1</f>
        <v>2034</v>
      </c>
    </row>
    <row r="2" spans="1:24" x14ac:dyDescent="0.2">
      <c r="B2" s="4" t="s">
        <v>58</v>
      </c>
      <c r="L2" s="6"/>
      <c r="M2" s="7">
        <f>SUM(M9:M10)/M26</f>
        <v>0.45912001996174001</v>
      </c>
      <c r="N2" s="7">
        <f t="shared" ref="N2:S2" si="6">SUM(N9:N10)/N26</f>
        <v>0.50933487096372021</v>
      </c>
      <c r="O2" s="7">
        <f t="shared" si="6"/>
        <v>0.51336284663004117</v>
      </c>
      <c r="P2" s="7">
        <f t="shared" si="6"/>
        <v>0.5165344210425532</v>
      </c>
      <c r="Q2" s="7">
        <f t="shared" si="6"/>
        <v>0.51877599874123548</v>
      </c>
      <c r="R2" s="7">
        <f t="shared" si="6"/>
        <v>0.25539102128868224</v>
      </c>
      <c r="S2" s="7">
        <f t="shared" si="6"/>
        <v>9.6464786446350953E-2</v>
      </c>
      <c r="T2" s="7">
        <f t="shared" ref="T2:X2" si="7">SUM(T9:T10)/T26</f>
        <v>8.999052251261512E-2</v>
      </c>
      <c r="U2" s="7">
        <f t="shared" si="7"/>
        <v>8.3314009826332802E-2</v>
      </c>
      <c r="V2" s="7">
        <f t="shared" si="7"/>
        <v>7.6487431155080207E-2</v>
      </c>
      <c r="W2" s="7">
        <f t="shared" si="7"/>
        <v>6.9669225614030938E-2</v>
      </c>
      <c r="X2" s="7">
        <f t="shared" si="7"/>
        <v>6.3988457345811961E-2</v>
      </c>
    </row>
    <row r="3" spans="1:24" x14ac:dyDescent="0.2">
      <c r="B3" s="4" t="s">
        <v>59</v>
      </c>
      <c r="L3" s="6"/>
      <c r="M3" s="7">
        <f>SUM(M12:M13)/M26</f>
        <v>7.009897696082508E-2</v>
      </c>
      <c r="N3" s="7">
        <f t="shared" ref="N3:S3" si="8">SUM(N12:N13)/N26</f>
        <v>6.6497319536217431E-2</v>
      </c>
      <c r="O3" s="7">
        <f t="shared" si="8"/>
        <v>6.5799943392529259E-2</v>
      </c>
      <c r="P3" s="7">
        <f t="shared" si="8"/>
        <v>6.5080130143312667E-2</v>
      </c>
      <c r="Q3" s="7">
        <f t="shared" si="8"/>
        <v>6.433140832117451E-2</v>
      </c>
      <c r="R3" s="7">
        <f t="shared" si="8"/>
        <v>0.12790867364816719</v>
      </c>
      <c r="S3" s="7">
        <f t="shared" si="8"/>
        <v>0.16845558372619163</v>
      </c>
      <c r="T3" s="7">
        <f t="shared" ref="T3:X3" si="9">SUM(T12:T13)/T26</f>
        <v>0.16138931118189476</v>
      </c>
      <c r="U3" s="7">
        <f t="shared" si="9"/>
        <v>0.1534962100876556</v>
      </c>
      <c r="V3" s="7">
        <f t="shared" si="9"/>
        <v>0.1448136368929388</v>
      </c>
      <c r="W3" s="7">
        <f t="shared" si="9"/>
        <v>0.13559264268894447</v>
      </c>
      <c r="X3" s="7">
        <f t="shared" si="9"/>
        <v>0.12610653215267001</v>
      </c>
    </row>
    <row r="4" spans="1:24" x14ac:dyDescent="0.2">
      <c r="B4" s="4" t="s">
        <v>60</v>
      </c>
      <c r="L4" s="6"/>
      <c r="M4" s="7">
        <f>SUM(M22:M23)/M26</f>
        <v>9.3570656242202441E-2</v>
      </c>
      <c r="N4" s="7">
        <f t="shared" ref="N4:S4" si="10">SUM(N22:N23)/N26</f>
        <v>9.1587707268420401E-2</v>
      </c>
      <c r="O4" s="7">
        <f t="shared" si="10"/>
        <v>9.1776821417944576E-2</v>
      </c>
      <c r="P4" s="7">
        <f t="shared" si="10"/>
        <v>9.1766060864101828E-2</v>
      </c>
      <c r="Q4" s="7">
        <f t="shared" si="10"/>
        <v>9.1548054530088699E-2</v>
      </c>
      <c r="R4" s="7">
        <f t="shared" si="10"/>
        <v>0.18340083479030245</v>
      </c>
      <c r="S4" s="7">
        <f t="shared" si="10"/>
        <v>0.24297607131426693</v>
      </c>
      <c r="T4" s="7">
        <f t="shared" ref="T4:X4" si="11">SUM(T22:T23)/T26</f>
        <v>0.24148131156220556</v>
      </c>
      <c r="U4" s="7">
        <f t="shared" si="11"/>
        <v>0.23818030337193358</v>
      </c>
      <c r="V4" s="7">
        <f t="shared" si="11"/>
        <v>0.2329635199726201</v>
      </c>
      <c r="W4" s="7">
        <f t="shared" si="11"/>
        <v>0.22480254913051753</v>
      </c>
      <c r="X4" s="7">
        <f t="shared" si="11"/>
        <v>0.21271000342840515</v>
      </c>
    </row>
    <row r="5" spans="1:24" x14ac:dyDescent="0.2"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2">
      <c r="B6" s="4" t="s">
        <v>110</v>
      </c>
      <c r="L6" s="6"/>
      <c r="M6" s="7"/>
      <c r="N6" s="7"/>
      <c r="O6" s="7"/>
      <c r="P6" s="7"/>
      <c r="Q6" s="7"/>
      <c r="R6" s="7"/>
      <c r="S6" s="7"/>
      <c r="T6" s="6"/>
      <c r="U6" s="6"/>
      <c r="V6" s="6"/>
      <c r="W6" s="6"/>
      <c r="X6" s="4">
        <v>5000</v>
      </c>
    </row>
    <row r="7" spans="1:24" x14ac:dyDescent="0.2">
      <c r="B7" s="4" t="s">
        <v>95</v>
      </c>
      <c r="L7" s="6"/>
      <c r="M7" s="7"/>
      <c r="N7" s="7"/>
      <c r="O7" s="6"/>
      <c r="P7" s="6"/>
      <c r="Q7" s="6"/>
      <c r="R7" s="6"/>
      <c r="S7" s="6"/>
      <c r="T7" s="6"/>
      <c r="U7" s="6"/>
      <c r="V7" s="6"/>
      <c r="W7" s="6"/>
      <c r="X7" s="6">
        <v>0</v>
      </c>
    </row>
    <row r="8" spans="1:24" x14ac:dyDescent="0.2">
      <c r="B8" s="4" t="s">
        <v>66</v>
      </c>
      <c r="G8" s="4">
        <v>441</v>
      </c>
      <c r="L8" s="6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>
        <v>0</v>
      </c>
    </row>
    <row r="9" spans="1:24" s="8" customFormat="1" x14ac:dyDescent="0.2">
      <c r="B9" s="8" t="s">
        <v>39</v>
      </c>
      <c r="G9" s="8">
        <v>7205</v>
      </c>
      <c r="M9" s="8">
        <v>25011</v>
      </c>
      <c r="N9" s="8">
        <v>29482</v>
      </c>
      <c r="O9" s="8">
        <f>N9*1.09</f>
        <v>32135.38</v>
      </c>
      <c r="P9" s="8">
        <f t="shared" ref="P9:Q9" si="12">O9*1.09</f>
        <v>35027.564200000001</v>
      </c>
      <c r="Q9" s="8">
        <f t="shared" si="12"/>
        <v>38180.044978000005</v>
      </c>
      <c r="R9" s="8">
        <f>Q9*0.2</f>
        <v>7636.0089956000011</v>
      </c>
      <c r="S9" s="8">
        <v>0</v>
      </c>
      <c r="T9" s="8">
        <v>0</v>
      </c>
      <c r="U9" s="8">
        <f t="shared" ref="U9:X9" si="13">T9*1.04</f>
        <v>0</v>
      </c>
      <c r="V9" s="8">
        <f t="shared" si="13"/>
        <v>0</v>
      </c>
      <c r="W9" s="8">
        <f t="shared" si="13"/>
        <v>0</v>
      </c>
      <c r="X9" s="8">
        <f t="shared" si="13"/>
        <v>0</v>
      </c>
    </row>
    <row r="10" spans="1:24" x14ac:dyDescent="0.2">
      <c r="B10" s="4" t="s">
        <v>48</v>
      </c>
      <c r="M10" s="4">
        <f>1199+960+218+212</f>
        <v>2589</v>
      </c>
      <c r="N10" s="4">
        <f>1311+1010+509+371</f>
        <v>3201</v>
      </c>
      <c r="O10" s="4">
        <f>N10*1.01</f>
        <v>3233.01</v>
      </c>
      <c r="P10" s="4">
        <f t="shared" ref="P10:X10" si="14">O10*1.01</f>
        <v>3265.3401000000003</v>
      </c>
      <c r="Q10" s="4">
        <f t="shared" si="14"/>
        <v>3297.9935010000004</v>
      </c>
      <c r="R10" s="4">
        <f t="shared" si="14"/>
        <v>3330.9734360100006</v>
      </c>
      <c r="S10" s="4">
        <f t="shared" si="14"/>
        <v>3364.2831703701004</v>
      </c>
      <c r="T10" s="4">
        <f t="shared" si="14"/>
        <v>3397.9260020738016</v>
      </c>
      <c r="U10" s="4">
        <f t="shared" si="14"/>
        <v>3431.9052620945395</v>
      </c>
      <c r="V10" s="4">
        <f t="shared" si="14"/>
        <v>3466.224314715485</v>
      </c>
      <c r="W10" s="4">
        <f t="shared" si="14"/>
        <v>3500.8865578626401</v>
      </c>
      <c r="X10" s="4">
        <f t="shared" si="14"/>
        <v>3535.8954234412663</v>
      </c>
    </row>
    <row r="11" spans="1:24" s="8" customFormat="1" x14ac:dyDescent="0.2">
      <c r="B11" s="8" t="s">
        <v>40</v>
      </c>
      <c r="G11" s="8">
        <v>1327</v>
      </c>
      <c r="M11" s="8">
        <v>8886</v>
      </c>
      <c r="N11" s="8">
        <v>8583</v>
      </c>
      <c r="O11" s="8">
        <f>N11*1.08</f>
        <v>9269.6400000000012</v>
      </c>
      <c r="P11" s="8">
        <f t="shared" ref="P11:Q11" si="15">O11*1.08</f>
        <v>10011.211200000002</v>
      </c>
      <c r="Q11" s="8">
        <f t="shared" si="15"/>
        <v>10812.108096000002</v>
      </c>
      <c r="R11" s="8">
        <f>Q11*0.2</f>
        <v>2162.4216192000004</v>
      </c>
      <c r="S11" s="8">
        <v>0</v>
      </c>
      <c r="T11" s="8">
        <f>S11*0.2</f>
        <v>0</v>
      </c>
      <c r="U11" s="8">
        <v>0</v>
      </c>
      <c r="V11" s="8">
        <v>0</v>
      </c>
      <c r="W11" s="8">
        <v>0</v>
      </c>
      <c r="X11" s="8">
        <v>0</v>
      </c>
    </row>
    <row r="12" spans="1:24" s="8" customFormat="1" x14ac:dyDescent="0.2">
      <c r="B12" s="8" t="s">
        <v>44</v>
      </c>
      <c r="G12" s="8">
        <v>539</v>
      </c>
      <c r="M12" s="8">
        <v>2368</v>
      </c>
      <c r="N12" s="8">
        <v>2485</v>
      </c>
      <c r="O12" s="8">
        <f>N12*1.1</f>
        <v>2733.5</v>
      </c>
      <c r="P12" s="8">
        <f t="shared" ref="P12:S12" si="16">O12*1.1</f>
        <v>3006.8500000000004</v>
      </c>
      <c r="Q12" s="8">
        <f t="shared" si="16"/>
        <v>3307.5350000000008</v>
      </c>
      <c r="R12" s="8">
        <f t="shared" si="16"/>
        <v>3638.288500000001</v>
      </c>
      <c r="S12" s="8">
        <f t="shared" si="16"/>
        <v>4002.1173500000014</v>
      </c>
      <c r="T12" s="8">
        <f t="shared" ref="T12:W12" si="17">S12*1.05</f>
        <v>4202.2232175000017</v>
      </c>
      <c r="U12" s="8">
        <f t="shared" si="17"/>
        <v>4412.3343783750024</v>
      </c>
      <c r="V12" s="8">
        <f t="shared" si="17"/>
        <v>4632.9510972937524</v>
      </c>
      <c r="W12" s="8">
        <f t="shared" si="17"/>
        <v>4864.59865215844</v>
      </c>
      <c r="X12" s="8">
        <v>5000</v>
      </c>
    </row>
    <row r="13" spans="1:24" x14ac:dyDescent="0.2">
      <c r="B13" s="4" t="s">
        <v>49</v>
      </c>
      <c r="M13" s="4">
        <f>665+769+412</f>
        <v>1846</v>
      </c>
      <c r="N13" s="4">
        <f>808+711+263</f>
        <v>1782</v>
      </c>
      <c r="O13" s="4">
        <f>N13*1.01</f>
        <v>1799.82</v>
      </c>
      <c r="P13" s="4">
        <f t="shared" ref="P13:X13" si="18">O13*1.01</f>
        <v>1817.8181999999999</v>
      </c>
      <c r="Q13" s="4">
        <f t="shared" si="18"/>
        <v>1835.996382</v>
      </c>
      <c r="R13" s="4">
        <f t="shared" si="18"/>
        <v>1854.3563458200001</v>
      </c>
      <c r="S13" s="4">
        <f t="shared" si="18"/>
        <v>1872.8999092782001</v>
      </c>
      <c r="T13" s="4">
        <f t="shared" si="18"/>
        <v>1891.6289083709821</v>
      </c>
      <c r="U13" s="4">
        <f t="shared" si="18"/>
        <v>1910.545197454692</v>
      </c>
      <c r="V13" s="4">
        <f t="shared" si="18"/>
        <v>1929.6506494292389</v>
      </c>
      <c r="W13" s="4">
        <f t="shared" si="18"/>
        <v>1948.9471559235312</v>
      </c>
      <c r="X13" s="4">
        <f t="shared" si="18"/>
        <v>1968.4366274827667</v>
      </c>
    </row>
    <row r="14" spans="1:24" x14ac:dyDescent="0.2">
      <c r="B14" s="4" t="s">
        <v>45</v>
      </c>
      <c r="M14" s="4">
        <f>1842+605+302+218+213</f>
        <v>3180</v>
      </c>
      <c r="N14" s="4">
        <f>1764+785+340+252+177</f>
        <v>3318</v>
      </c>
      <c r="O14" s="4">
        <f>N14*1.02</f>
        <v>3384.36</v>
      </c>
      <c r="P14" s="4">
        <f t="shared" ref="P14:W14" si="19">O14*1.02</f>
        <v>3452.0472</v>
      </c>
      <c r="Q14" s="4">
        <f t="shared" si="19"/>
        <v>3521.0881439999998</v>
      </c>
      <c r="R14" s="4">
        <f t="shared" si="19"/>
        <v>3591.50990688</v>
      </c>
      <c r="S14" s="4">
        <f t="shared" si="19"/>
        <v>3663.3401050176003</v>
      </c>
      <c r="T14" s="4">
        <f t="shared" si="19"/>
        <v>3736.6069071179522</v>
      </c>
      <c r="U14" s="4">
        <f t="shared" si="19"/>
        <v>3811.3390452603112</v>
      </c>
      <c r="V14" s="4">
        <f t="shared" si="19"/>
        <v>3887.5658261655176</v>
      </c>
      <c r="W14" s="4">
        <f t="shared" si="19"/>
        <v>3965.317142688828</v>
      </c>
      <c r="X14" s="4">
        <v>4000</v>
      </c>
    </row>
    <row r="15" spans="1:24" x14ac:dyDescent="0.2">
      <c r="B15" s="4" t="s">
        <v>46</v>
      </c>
      <c r="M15" s="4">
        <f>367+255</f>
        <v>622</v>
      </c>
      <c r="N15" s="4">
        <f>419+415+287</f>
        <v>1121</v>
      </c>
      <c r="O15" s="4">
        <f>N15*1.3</f>
        <v>1457.3</v>
      </c>
      <c r="P15" s="4">
        <f t="shared" ref="P15:W15" si="20">O15*1.3</f>
        <v>1894.49</v>
      </c>
      <c r="Q15" s="4">
        <f t="shared" si="20"/>
        <v>2462.837</v>
      </c>
      <c r="R15" s="4">
        <f t="shared" si="20"/>
        <v>3201.6881000000003</v>
      </c>
      <c r="S15" s="4">
        <f t="shared" si="20"/>
        <v>4162.1945300000007</v>
      </c>
      <c r="T15" s="4">
        <f t="shared" si="20"/>
        <v>5410.8528890000007</v>
      </c>
      <c r="U15" s="4">
        <f t="shared" si="20"/>
        <v>7034.108755700001</v>
      </c>
      <c r="V15" s="4">
        <f t="shared" si="20"/>
        <v>9144.3413824100007</v>
      </c>
      <c r="W15" s="4">
        <f t="shared" si="20"/>
        <v>11887.643797133001</v>
      </c>
      <c r="X15" s="4">
        <v>15000</v>
      </c>
    </row>
    <row r="16" spans="1:24" x14ac:dyDescent="0.2">
      <c r="B16" s="4" t="s">
        <v>50</v>
      </c>
      <c r="M16" s="4">
        <f>1428+483+201+142</f>
        <v>2254</v>
      </c>
      <c r="N16" s="4">
        <f>964+394+249+163</f>
        <v>1770</v>
      </c>
      <c r="O16" s="4">
        <f>N16*1.01</f>
        <v>1787.7</v>
      </c>
      <c r="P16" s="4">
        <f t="shared" ref="P16:W16" si="21">O16*1.01</f>
        <v>1805.577</v>
      </c>
      <c r="Q16" s="4">
        <f t="shared" si="21"/>
        <v>1823.6327699999999</v>
      </c>
      <c r="R16" s="4">
        <f t="shared" si="21"/>
        <v>1841.8690976999999</v>
      </c>
      <c r="S16" s="4">
        <f t="shared" si="21"/>
        <v>1860.287788677</v>
      </c>
      <c r="T16" s="4">
        <f t="shared" si="21"/>
        <v>1878.8906665637701</v>
      </c>
      <c r="U16" s="4">
        <f t="shared" si="21"/>
        <v>1897.6795732294079</v>
      </c>
      <c r="V16" s="4">
        <f t="shared" si="21"/>
        <v>1916.6563689617019</v>
      </c>
      <c r="W16" s="4">
        <f t="shared" si="21"/>
        <v>1935.822932651319</v>
      </c>
      <c r="X16" s="4">
        <v>2000</v>
      </c>
    </row>
    <row r="17" spans="2:24" x14ac:dyDescent="0.2">
      <c r="B17" s="4" t="s">
        <v>51</v>
      </c>
      <c r="M17" s="4">
        <v>231</v>
      </c>
      <c r="N17" s="4">
        <v>222</v>
      </c>
      <c r="O17" s="4">
        <f>N17*1.05</f>
        <v>233.10000000000002</v>
      </c>
      <c r="P17" s="4">
        <f t="shared" ref="P17:R17" si="22">O17*1.05</f>
        <v>244.75500000000002</v>
      </c>
      <c r="Q17" s="4">
        <f t="shared" si="22"/>
        <v>256.99275000000006</v>
      </c>
      <c r="R17" s="4">
        <f t="shared" si="22"/>
        <v>269.84238750000009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</row>
    <row r="18" spans="2:24" x14ac:dyDescent="0.2">
      <c r="B18" s="4" t="s">
        <v>52</v>
      </c>
      <c r="M18" s="4">
        <f>710+187</f>
        <v>897</v>
      </c>
      <c r="N18" s="4">
        <f>543+114</f>
        <v>657</v>
      </c>
      <c r="O18" s="4">
        <f>N18*1.23</f>
        <v>808.11</v>
      </c>
      <c r="P18" s="4">
        <f t="shared" ref="P18:W18" si="23">O18*1.23</f>
        <v>993.97529999999995</v>
      </c>
      <c r="Q18" s="4">
        <f t="shared" si="23"/>
        <v>1222.5896189999999</v>
      </c>
      <c r="R18" s="4">
        <f t="shared" si="23"/>
        <v>1503.7852313699998</v>
      </c>
      <c r="S18" s="4">
        <f t="shared" si="23"/>
        <v>1849.6558345850997</v>
      </c>
      <c r="T18" s="4">
        <f t="shared" si="23"/>
        <v>2275.0766765396725</v>
      </c>
      <c r="U18" s="4">
        <f t="shared" si="23"/>
        <v>2798.3443121437972</v>
      </c>
      <c r="V18" s="4">
        <f t="shared" si="23"/>
        <v>3441.9635039368704</v>
      </c>
      <c r="W18" s="4">
        <f t="shared" si="23"/>
        <v>4233.6151098423506</v>
      </c>
      <c r="X18" s="4">
        <v>5000</v>
      </c>
    </row>
    <row r="19" spans="2:24" s="8" customFormat="1" x14ac:dyDescent="0.2">
      <c r="B19" s="8" t="s">
        <v>42</v>
      </c>
      <c r="G19" s="8">
        <v>796</v>
      </c>
      <c r="M19" s="8">
        <v>2189</v>
      </c>
      <c r="N19" s="8">
        <v>1334</v>
      </c>
      <c r="O19" s="8">
        <f>N19*1.09</f>
        <v>1454.0600000000002</v>
      </c>
      <c r="P19" s="8">
        <f t="shared" ref="P19:W19" si="24">O19*1.09</f>
        <v>1584.9254000000003</v>
      </c>
      <c r="Q19" s="8">
        <f t="shared" si="24"/>
        <v>1727.5686860000005</v>
      </c>
      <c r="R19" s="8">
        <f t="shared" si="24"/>
        <v>1883.0498677400008</v>
      </c>
      <c r="S19" s="8">
        <f t="shared" si="24"/>
        <v>2052.524355836601</v>
      </c>
      <c r="T19" s="8">
        <f t="shared" si="24"/>
        <v>2237.2515478618952</v>
      </c>
      <c r="U19" s="8">
        <f t="shared" si="24"/>
        <v>2438.6041871694661</v>
      </c>
      <c r="V19" s="8">
        <f t="shared" si="24"/>
        <v>2658.0785640147183</v>
      </c>
      <c r="W19" s="8">
        <f t="shared" si="24"/>
        <v>2897.305634776043</v>
      </c>
      <c r="X19" s="8">
        <v>3000</v>
      </c>
    </row>
    <row r="20" spans="2:24" x14ac:dyDescent="0.2">
      <c r="B20" s="4" t="s">
        <v>53</v>
      </c>
      <c r="M20" s="4">
        <v>1177</v>
      </c>
      <c r="N20" s="4">
        <v>935</v>
      </c>
      <c r="O20" s="4">
        <f>N20*0.9</f>
        <v>841.5</v>
      </c>
      <c r="P20" s="4">
        <f t="shared" ref="P20:R20" si="25">O20*0.9</f>
        <v>757.35</v>
      </c>
      <c r="Q20" s="4">
        <f t="shared" si="25"/>
        <v>681.61500000000001</v>
      </c>
      <c r="R20" s="4">
        <f t="shared" si="25"/>
        <v>613.45350000000008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</row>
    <row r="21" spans="2:24" x14ac:dyDescent="0.2">
      <c r="B21" s="4" t="s">
        <v>54</v>
      </c>
      <c r="M21" s="4">
        <v>2333</v>
      </c>
      <c r="N21" s="4">
        <v>2510</v>
      </c>
      <c r="O21" s="4">
        <f>N21*1.01</f>
        <v>2535.1</v>
      </c>
      <c r="P21" s="4">
        <f t="shared" ref="P21:W21" si="26">O21*1.01</f>
        <v>2560.451</v>
      </c>
      <c r="Q21" s="4">
        <f t="shared" si="26"/>
        <v>2586.0555100000001</v>
      </c>
      <c r="R21" s="4">
        <f t="shared" si="26"/>
        <v>2611.9160651000002</v>
      </c>
      <c r="S21" s="4">
        <f t="shared" si="26"/>
        <v>2638.0352257510003</v>
      </c>
      <c r="T21" s="4">
        <f t="shared" si="26"/>
        <v>2664.4155780085102</v>
      </c>
      <c r="U21" s="4">
        <f t="shared" si="26"/>
        <v>2691.0597337885952</v>
      </c>
      <c r="V21" s="4">
        <f t="shared" si="26"/>
        <v>2717.9703311264811</v>
      </c>
      <c r="W21" s="4">
        <f t="shared" si="26"/>
        <v>2745.1500344377459</v>
      </c>
      <c r="X21" s="4">
        <v>3000</v>
      </c>
    </row>
    <row r="22" spans="2:24" s="8" customFormat="1" x14ac:dyDescent="0.2">
      <c r="B22" s="8" t="s">
        <v>55</v>
      </c>
      <c r="G22" s="8">
        <v>924</v>
      </c>
      <c r="M22" s="8">
        <v>3337</v>
      </c>
      <c r="N22" s="8">
        <v>3462</v>
      </c>
      <c r="O22" s="8">
        <f>N22*1.08</f>
        <v>3738.96</v>
      </c>
      <c r="P22" s="8">
        <f t="shared" ref="P22:V22" si="27">O22*1.08</f>
        <v>4038.0768000000003</v>
      </c>
      <c r="Q22" s="8">
        <f t="shared" si="27"/>
        <v>4361.1229440000006</v>
      </c>
      <c r="R22" s="8">
        <f t="shared" si="27"/>
        <v>4710.0127795200015</v>
      </c>
      <c r="S22" s="8">
        <f t="shared" si="27"/>
        <v>5086.8138018816016</v>
      </c>
      <c r="T22" s="8">
        <f t="shared" si="27"/>
        <v>5493.7589060321297</v>
      </c>
      <c r="U22" s="8">
        <f t="shared" si="27"/>
        <v>5933.2596185147004</v>
      </c>
      <c r="V22" s="8">
        <f t="shared" si="27"/>
        <v>6407.9203879958768</v>
      </c>
      <c r="W22" s="8">
        <f>V22*1.07</f>
        <v>6856.4748151555887</v>
      </c>
      <c r="X22" s="8">
        <f>N22*2</f>
        <v>6924</v>
      </c>
    </row>
    <row r="23" spans="2:24" s="8" customFormat="1" x14ac:dyDescent="0.2">
      <c r="B23" s="8" t="s">
        <v>56</v>
      </c>
      <c r="G23" s="8">
        <v>664</v>
      </c>
      <c r="M23" s="8">
        <v>2288</v>
      </c>
      <c r="N23" s="8">
        <v>2415</v>
      </c>
      <c r="O23" s="8">
        <f>N23*1.07</f>
        <v>2584.0500000000002</v>
      </c>
      <c r="P23" s="8">
        <f t="shared" ref="P23:W23" si="28">O23*1.07</f>
        <v>2764.9335000000005</v>
      </c>
      <c r="Q23" s="8">
        <f t="shared" si="28"/>
        <v>2958.4788450000005</v>
      </c>
      <c r="R23" s="8">
        <f t="shared" si="28"/>
        <v>3165.5723641500008</v>
      </c>
      <c r="S23" s="8">
        <f t="shared" si="28"/>
        <v>3387.1624296405012</v>
      </c>
      <c r="T23" s="8">
        <f t="shared" si="28"/>
        <v>3624.2637997153365</v>
      </c>
      <c r="U23" s="8">
        <f t="shared" si="28"/>
        <v>3877.9622656954102</v>
      </c>
      <c r="V23" s="8">
        <f t="shared" si="28"/>
        <v>4149.4196242940889</v>
      </c>
      <c r="W23" s="8">
        <f t="shared" si="28"/>
        <v>4439.878997994675</v>
      </c>
      <c r="X23" s="8">
        <f>N23*2</f>
        <v>4830</v>
      </c>
    </row>
    <row r="24" spans="2:24" x14ac:dyDescent="0.2">
      <c r="B24" s="4" t="s">
        <v>47</v>
      </c>
      <c r="M24" s="4">
        <v>907</v>
      </c>
      <c r="N24" s="4">
        <v>891</v>
      </c>
      <c r="O24" s="4">
        <f>N24*1.01</f>
        <v>899.91</v>
      </c>
      <c r="P24" s="4">
        <f t="shared" ref="P24:W24" si="29">O24*1.01</f>
        <v>908.90909999999997</v>
      </c>
      <c r="Q24" s="4">
        <f t="shared" si="29"/>
        <v>917.99819100000002</v>
      </c>
      <c r="R24" s="4">
        <f t="shared" si="29"/>
        <v>927.17817291000006</v>
      </c>
      <c r="S24" s="4">
        <f t="shared" si="29"/>
        <v>936.44995463910004</v>
      </c>
      <c r="T24" s="4">
        <f t="shared" si="29"/>
        <v>945.81445418549106</v>
      </c>
      <c r="U24" s="4">
        <f t="shared" si="29"/>
        <v>955.27259872734601</v>
      </c>
      <c r="V24" s="4">
        <f t="shared" si="29"/>
        <v>964.82532471461946</v>
      </c>
      <c r="W24" s="4">
        <f t="shared" si="29"/>
        <v>974.47357796176561</v>
      </c>
      <c r="X24" s="4">
        <v>1000</v>
      </c>
    </row>
    <row r="25" spans="2:24" s="8" customFormat="1" x14ac:dyDescent="0.2">
      <c r="B25" s="4" t="s">
        <v>43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f>1199+960+212+367</f>
        <v>2738</v>
      </c>
      <c r="N25" s="4">
        <f>1311+1010+371+415</f>
        <v>3107</v>
      </c>
      <c r="O25" s="4">
        <f>N25*1.01</f>
        <v>3138.07</v>
      </c>
      <c r="P25" s="4">
        <f t="shared" ref="P25:X25" si="30">O25*1.01</f>
        <v>3169.4507000000003</v>
      </c>
      <c r="Q25" s="4">
        <f t="shared" si="30"/>
        <v>3201.1452070000005</v>
      </c>
      <c r="R25" s="4">
        <f t="shared" si="30"/>
        <v>3233.1566590700004</v>
      </c>
      <c r="S25" s="4">
        <f t="shared" si="30"/>
        <v>3265.4882256607002</v>
      </c>
      <c r="T25" s="4">
        <f t="shared" si="30"/>
        <v>3298.1431079173071</v>
      </c>
      <c r="U25" s="4">
        <f t="shared" si="30"/>
        <v>3331.1245389964802</v>
      </c>
      <c r="V25" s="4">
        <f t="shared" si="30"/>
        <v>3364.435784386445</v>
      </c>
      <c r="W25" s="4">
        <f t="shared" si="30"/>
        <v>3398.0801422303093</v>
      </c>
      <c r="X25" s="4">
        <f t="shared" si="30"/>
        <v>3432.0609436526124</v>
      </c>
    </row>
    <row r="26" spans="2:24" s="8" customFormat="1" x14ac:dyDescent="0.2">
      <c r="B26" s="8" t="s">
        <v>7</v>
      </c>
      <c r="C26" s="8">
        <v>15775</v>
      </c>
      <c r="G26" s="8">
        <v>15529</v>
      </c>
      <c r="H26" s="8">
        <f>G26*1.03</f>
        <v>15994.87</v>
      </c>
      <c r="I26" s="8">
        <f t="shared" ref="I26:J26" si="31">H26*1.03</f>
        <v>16474.716100000001</v>
      </c>
      <c r="J26" s="8">
        <f t="shared" si="31"/>
        <v>16968.957583000003</v>
      </c>
      <c r="L26" s="8">
        <v>59283</v>
      </c>
      <c r="M26" s="8">
        <f t="shared" ref="M26:X26" si="32">SUM(M9:M24)</f>
        <v>60115</v>
      </c>
      <c r="N26" s="8">
        <f t="shared" si="32"/>
        <v>64168</v>
      </c>
      <c r="O26" s="8">
        <f t="shared" si="32"/>
        <v>68895.5</v>
      </c>
      <c r="P26" s="8">
        <f t="shared" si="32"/>
        <v>74134.27399999999</v>
      </c>
      <c r="Q26" s="8">
        <f t="shared" si="32"/>
        <v>79953.657416000031</v>
      </c>
      <c r="R26" s="8">
        <f t="shared" si="32"/>
        <v>42941.926369500005</v>
      </c>
      <c r="S26" s="8">
        <f t="shared" si="32"/>
        <v>34875.764455676806</v>
      </c>
      <c r="T26" s="8">
        <f t="shared" si="32"/>
        <v>37758.709552969543</v>
      </c>
      <c r="U26" s="8">
        <f t="shared" si="32"/>
        <v>41192.414928153266</v>
      </c>
      <c r="V26" s="8">
        <f t="shared" si="32"/>
        <v>45317.567375058359</v>
      </c>
      <c r="W26" s="8">
        <f t="shared" si="32"/>
        <v>50250.114408585927</v>
      </c>
      <c r="X26" s="8">
        <f t="shared" si="32"/>
        <v>55258.332050924029</v>
      </c>
    </row>
    <row r="27" spans="2:24" x14ac:dyDescent="0.2">
      <c r="B27" s="4" t="s">
        <v>6</v>
      </c>
      <c r="C27" s="4">
        <v>3540</v>
      </c>
      <c r="G27" s="4">
        <v>3419</v>
      </c>
      <c r="H27" s="4">
        <f>G27*(1+H41)</f>
        <v>3521.57</v>
      </c>
      <c r="I27" s="4">
        <f t="shared" ref="I27:J27" si="33">H27*(1+I41)</f>
        <v>3627.2171000000003</v>
      </c>
      <c r="J27" s="4">
        <f t="shared" si="33"/>
        <v>3736.0336130000005</v>
      </c>
      <c r="L27" s="4">
        <v>17411</v>
      </c>
      <c r="M27" s="4">
        <v>16126</v>
      </c>
      <c r="N27" s="4">
        <v>15193</v>
      </c>
      <c r="O27" s="4">
        <f>SUM(G27:J27)</f>
        <v>14303.820713000001</v>
      </c>
      <c r="P27" s="4">
        <f>O27*(1+P40)</f>
        <v>15391.474972740127</v>
      </c>
      <c r="Q27" s="4">
        <f t="shared" ref="Q27:S27" si="34">P27*(1+Q40)</f>
        <v>16599.673143051252</v>
      </c>
      <c r="R27" s="4">
        <f t="shared" si="34"/>
        <v>8915.4388292439289</v>
      </c>
      <c r="S27" s="4">
        <f t="shared" si="34"/>
        <v>7240.7730839143214</v>
      </c>
      <c r="T27" s="4">
        <f t="shared" ref="T27" si="35">S27*(1+T40)</f>
        <v>7839.3191398555327</v>
      </c>
      <c r="U27" s="4">
        <f t="shared" ref="U27" si="36">T27*(1+U40)</f>
        <v>8552.2119422576106</v>
      </c>
      <c r="V27" s="4">
        <f t="shared" ref="V27" si="37">U27*(1+V40)</f>
        <v>9408.6603462074145</v>
      </c>
      <c r="W27" s="4">
        <f t="shared" ref="W27" si="38">V27*(1+W40)</f>
        <v>10432.736932138549</v>
      </c>
      <c r="X27" s="4">
        <f t="shared" ref="X27" si="39">W27*(1+X40)</f>
        <v>11472.523961011084</v>
      </c>
    </row>
    <row r="28" spans="2:24" x14ac:dyDescent="0.2">
      <c r="B28" s="4" t="s">
        <v>8</v>
      </c>
      <c r="C28" s="4">
        <f>C26-C27</f>
        <v>12235</v>
      </c>
      <c r="D28" s="4">
        <f t="shared" ref="D28:F28" si="40">D26-D27</f>
        <v>0</v>
      </c>
      <c r="E28" s="4">
        <f t="shared" si="40"/>
        <v>0</v>
      </c>
      <c r="F28" s="4">
        <f t="shared" si="40"/>
        <v>0</v>
      </c>
      <c r="G28" s="4">
        <f>G26-G27</f>
        <v>12110</v>
      </c>
      <c r="H28" s="4">
        <f>H26-H27</f>
        <v>12473.300000000001</v>
      </c>
      <c r="I28" s="4">
        <f t="shared" ref="I28:J28" si="41">I26-I27</f>
        <v>12847.499000000002</v>
      </c>
      <c r="J28" s="4">
        <f t="shared" si="41"/>
        <v>13232.923970000003</v>
      </c>
      <c r="L28" s="4">
        <f>L26-L27</f>
        <v>41872</v>
      </c>
      <c r="M28" s="4">
        <f t="shared" ref="M28:S28" si="42">M26-M27</f>
        <v>43989</v>
      </c>
      <c r="N28" s="4">
        <f t="shared" si="42"/>
        <v>48975</v>
      </c>
      <c r="O28" s="4">
        <f t="shared" si="42"/>
        <v>54591.679286999999</v>
      </c>
      <c r="P28" s="4">
        <f t="shared" si="42"/>
        <v>58742.799027259862</v>
      </c>
      <c r="Q28" s="4">
        <f t="shared" si="42"/>
        <v>63353.984272948779</v>
      </c>
      <c r="R28" s="4">
        <f t="shared" si="42"/>
        <v>34026.487540256072</v>
      </c>
      <c r="S28" s="4">
        <f t="shared" si="42"/>
        <v>27634.991371762484</v>
      </c>
      <c r="T28" s="4">
        <f t="shared" ref="T28:X28" si="43">T26-T27</f>
        <v>29919.390413114012</v>
      </c>
      <c r="U28" s="4">
        <f t="shared" si="43"/>
        <v>32640.202985895656</v>
      </c>
      <c r="V28" s="4">
        <f t="shared" si="43"/>
        <v>35908.907028850947</v>
      </c>
      <c r="W28" s="4">
        <f t="shared" si="43"/>
        <v>39817.377476447378</v>
      </c>
      <c r="X28" s="4">
        <f t="shared" si="43"/>
        <v>43785.808089912942</v>
      </c>
    </row>
    <row r="29" spans="2:24" x14ac:dyDescent="0.2">
      <c r="B29" s="4" t="s">
        <v>9</v>
      </c>
      <c r="C29" s="4">
        <v>2483</v>
      </c>
      <c r="G29" s="4">
        <v>2552</v>
      </c>
      <c r="H29" s="4">
        <f>G29*(1+H41)</f>
        <v>2628.56</v>
      </c>
      <c r="I29" s="4">
        <f t="shared" ref="I29:J29" si="44">H29*(1+I41)</f>
        <v>2707.4168</v>
      </c>
      <c r="J29" s="4">
        <f t="shared" si="44"/>
        <v>2788.6393039999998</v>
      </c>
      <c r="L29" s="4">
        <v>10042</v>
      </c>
      <c r="M29" s="4">
        <v>10504</v>
      </c>
      <c r="N29" s="4">
        <v>10816</v>
      </c>
      <c r="O29" s="4">
        <f>SUM(G29:J29)</f>
        <v>10676.616103999999</v>
      </c>
      <c r="P29" s="4">
        <f>O29*1.04</f>
        <v>11103.680748159999</v>
      </c>
      <c r="Q29" s="4">
        <f t="shared" ref="Q29:X29" si="45">P29*1.04</f>
        <v>11547.8279780864</v>
      </c>
      <c r="R29" s="4">
        <f t="shared" si="45"/>
        <v>12009.741097209855</v>
      </c>
      <c r="S29" s="4">
        <f t="shared" si="45"/>
        <v>12490.13074109825</v>
      </c>
      <c r="T29" s="4">
        <f t="shared" si="45"/>
        <v>12989.73597074218</v>
      </c>
      <c r="U29" s="4">
        <f t="shared" si="45"/>
        <v>13509.325409571868</v>
      </c>
      <c r="V29" s="4">
        <f t="shared" si="45"/>
        <v>14049.698425954743</v>
      </c>
      <c r="W29" s="4">
        <f t="shared" si="45"/>
        <v>14611.686362992932</v>
      </c>
      <c r="X29" s="4">
        <f t="shared" si="45"/>
        <v>15196.15381751265</v>
      </c>
    </row>
    <row r="30" spans="2:24" x14ac:dyDescent="0.2">
      <c r="B30" s="4" t="s">
        <v>10</v>
      </c>
      <c r="C30" s="4">
        <v>3992</v>
      </c>
      <c r="G30" s="4">
        <v>3621</v>
      </c>
      <c r="H30" s="4">
        <f>G30*(1+H41)</f>
        <v>3729.63</v>
      </c>
      <c r="I30" s="4">
        <f t="shared" ref="I30:J30" si="46">H30*(1+I41)</f>
        <v>3841.5189</v>
      </c>
      <c r="J30" s="4">
        <f t="shared" si="46"/>
        <v>3956.764467</v>
      </c>
      <c r="L30" s="4">
        <v>13548</v>
      </c>
      <c r="M30" s="4">
        <v>30531</v>
      </c>
      <c r="N30" s="4">
        <v>17938</v>
      </c>
    </row>
    <row r="31" spans="2:24" x14ac:dyDescent="0.2">
      <c r="B31" s="4" t="s">
        <v>11</v>
      </c>
      <c r="C31" s="4">
        <f>SUM(C29:C30)</f>
        <v>6475</v>
      </c>
      <c r="D31" s="4">
        <f t="shared" ref="D31:F31" si="47">SUM(D29:D30)</f>
        <v>0</v>
      </c>
      <c r="E31" s="4">
        <f t="shared" si="47"/>
        <v>0</v>
      </c>
      <c r="F31" s="4">
        <f t="shared" si="47"/>
        <v>0</v>
      </c>
      <c r="G31" s="4">
        <f>SUM(G29:G30)</f>
        <v>6173</v>
      </c>
      <c r="H31" s="4">
        <f>SUM(H29:H30)</f>
        <v>6358.1900000000005</v>
      </c>
      <c r="I31" s="4">
        <f t="shared" ref="I31:J31" si="48">SUM(I29:I30)</f>
        <v>6548.9357</v>
      </c>
      <c r="J31" s="4">
        <f t="shared" si="48"/>
        <v>6745.4037709999993</v>
      </c>
      <c r="L31" s="4">
        <f>SUM(L29:L30)</f>
        <v>23590</v>
      </c>
      <c r="M31" s="4">
        <f t="shared" ref="M31:S31" si="49">SUM(M29:M30)</f>
        <v>41035</v>
      </c>
      <c r="N31" s="4">
        <f t="shared" si="49"/>
        <v>28754</v>
      </c>
      <c r="O31" s="4">
        <f t="shared" si="49"/>
        <v>10676.616103999999</v>
      </c>
      <c r="P31" s="4">
        <f t="shared" si="49"/>
        <v>11103.680748159999</v>
      </c>
      <c r="Q31" s="4">
        <f t="shared" si="49"/>
        <v>11547.8279780864</v>
      </c>
      <c r="R31" s="4">
        <f t="shared" si="49"/>
        <v>12009.741097209855</v>
      </c>
      <c r="S31" s="4">
        <f t="shared" si="49"/>
        <v>12490.13074109825</v>
      </c>
      <c r="T31" s="4">
        <f t="shared" ref="T31:X31" si="50">SUM(T29:T30)</f>
        <v>12989.73597074218</v>
      </c>
      <c r="U31" s="4">
        <f t="shared" si="50"/>
        <v>13509.325409571868</v>
      </c>
      <c r="V31" s="4">
        <f t="shared" si="50"/>
        <v>14049.698425954743</v>
      </c>
      <c r="W31" s="4">
        <f t="shared" si="50"/>
        <v>14611.686362992932</v>
      </c>
      <c r="X31" s="4">
        <f t="shared" si="50"/>
        <v>15196.15381751265</v>
      </c>
    </row>
    <row r="32" spans="2:24" s="8" customFormat="1" x14ac:dyDescent="0.2">
      <c r="B32" s="8" t="s">
        <v>12</v>
      </c>
      <c r="C32" s="8">
        <f>C28-C31</f>
        <v>5760</v>
      </c>
      <c r="D32" s="8">
        <f t="shared" ref="D32:F32" si="51">D28-D31</f>
        <v>0</v>
      </c>
      <c r="E32" s="8">
        <f t="shared" si="51"/>
        <v>0</v>
      </c>
      <c r="F32" s="8">
        <f t="shared" si="51"/>
        <v>0</v>
      </c>
      <c r="G32" s="8">
        <f>G28-G31</f>
        <v>5937</v>
      </c>
      <c r="H32" s="8">
        <f>H28-H31</f>
        <v>6115.1100000000006</v>
      </c>
      <c r="I32" s="8">
        <f t="shared" ref="I32:J32" si="52">I28-I31</f>
        <v>6298.5633000000016</v>
      </c>
      <c r="J32" s="8">
        <f t="shared" si="52"/>
        <v>6487.5201990000041</v>
      </c>
      <c r="L32" s="8">
        <f>L28-L31</f>
        <v>18282</v>
      </c>
      <c r="M32" s="8">
        <f t="shared" ref="M32:S32" si="53">M28-M31</f>
        <v>2954</v>
      </c>
      <c r="N32" s="8">
        <f t="shared" si="53"/>
        <v>20221</v>
      </c>
      <c r="O32" s="8">
        <f t="shared" si="53"/>
        <v>43915.063182999998</v>
      </c>
      <c r="P32" s="8">
        <f t="shared" si="53"/>
        <v>47639.118279099865</v>
      </c>
      <c r="Q32" s="8">
        <f t="shared" si="53"/>
        <v>51806.156294862376</v>
      </c>
      <c r="R32" s="8">
        <f t="shared" si="53"/>
        <v>22016.746443046217</v>
      </c>
      <c r="S32" s="8">
        <f t="shared" si="53"/>
        <v>15144.860630664234</v>
      </c>
      <c r="T32" s="8">
        <f t="shared" ref="T32:X32" si="54">T28-T31</f>
        <v>16929.65444237183</v>
      </c>
      <c r="U32" s="8">
        <f t="shared" si="54"/>
        <v>19130.877576323786</v>
      </c>
      <c r="V32" s="8">
        <f t="shared" si="54"/>
        <v>21859.208602896204</v>
      </c>
      <c r="W32" s="8">
        <f t="shared" si="54"/>
        <v>25205.691113454446</v>
      </c>
      <c r="X32" s="8">
        <f t="shared" si="54"/>
        <v>28589.654272400294</v>
      </c>
    </row>
    <row r="33" spans="2:117" x14ac:dyDescent="0.2">
      <c r="B33" s="4" t="s">
        <v>13</v>
      </c>
      <c r="C33" s="4">
        <v>-33</v>
      </c>
      <c r="G33" s="4">
        <v>-35</v>
      </c>
      <c r="H33" s="4">
        <f>G53*$AA$39/4</f>
        <v>-161.6</v>
      </c>
      <c r="I33" s="4">
        <f>H53*$AA$39/4</f>
        <v>-137.78595999999999</v>
      </c>
      <c r="J33" s="4">
        <f>I53*$AA$39/4</f>
        <v>-113.14285064000001</v>
      </c>
      <c r="O33" s="4">
        <f>SUM(G33:J33)</f>
        <v>-447.52881063999996</v>
      </c>
      <c r="P33" s="4">
        <f t="shared" ref="P33:X33" si="55">O53*$AA$39</f>
        <v>-350.58136498623992</v>
      </c>
      <c r="Q33" s="4">
        <f t="shared" si="55"/>
        <v>406.03522563957813</v>
      </c>
      <c r="R33" s="4">
        <f t="shared" si="55"/>
        <v>1241.4302899676095</v>
      </c>
      <c r="S33" s="4">
        <f t="shared" si="55"/>
        <v>1613.5611176958307</v>
      </c>
      <c r="T33" s="4">
        <f t="shared" si="55"/>
        <v>1881.695865669592</v>
      </c>
      <c r="U33" s="4">
        <f t="shared" si="55"/>
        <v>2182.6774705982548</v>
      </c>
      <c r="V33" s="4">
        <f t="shared" si="55"/>
        <v>2523.6943513490073</v>
      </c>
      <c r="W33" s="4">
        <f t="shared" si="55"/>
        <v>2913.8207986169309</v>
      </c>
      <c r="X33" s="4">
        <f t="shared" si="55"/>
        <v>3363.7329892100734</v>
      </c>
    </row>
    <row r="34" spans="2:117" x14ac:dyDescent="0.2">
      <c r="B34" s="4" t="s">
        <v>14</v>
      </c>
      <c r="C34" s="4">
        <f>C32+C33</f>
        <v>5727</v>
      </c>
      <c r="D34" s="4">
        <f t="shared" ref="D34:F34" si="56">D32+D33</f>
        <v>0</v>
      </c>
      <c r="E34" s="4">
        <f t="shared" si="56"/>
        <v>0</v>
      </c>
      <c r="F34" s="4">
        <f t="shared" si="56"/>
        <v>0</v>
      </c>
      <c r="G34" s="4">
        <f>G32+G33</f>
        <v>5902</v>
      </c>
      <c r="H34" s="4">
        <f>H32+H33</f>
        <v>5953.51</v>
      </c>
      <c r="I34" s="4">
        <f t="shared" ref="I34:J34" si="57">I32+I33</f>
        <v>6160.7773400000015</v>
      </c>
      <c r="J34" s="4">
        <f t="shared" si="57"/>
        <v>6374.3773483600044</v>
      </c>
      <c r="L34" s="4">
        <f>L32+L33</f>
        <v>18282</v>
      </c>
      <c r="M34" s="4">
        <f t="shared" ref="M34:S34" si="58">M32+M33</f>
        <v>2954</v>
      </c>
      <c r="N34" s="4">
        <f t="shared" si="58"/>
        <v>20221</v>
      </c>
      <c r="O34" s="4">
        <f t="shared" si="58"/>
        <v>43467.534372360002</v>
      </c>
      <c r="P34" s="4">
        <f t="shared" si="58"/>
        <v>47288.536914113625</v>
      </c>
      <c r="Q34" s="4">
        <f t="shared" si="58"/>
        <v>52212.191520501954</v>
      </c>
      <c r="R34" s="4">
        <f t="shared" si="58"/>
        <v>23258.176733013825</v>
      </c>
      <c r="S34" s="4">
        <f t="shared" si="58"/>
        <v>16758.421748360066</v>
      </c>
      <c r="T34" s="4">
        <f t="shared" ref="T34:X34" si="59">T32+T33</f>
        <v>18811.350308041423</v>
      </c>
      <c r="U34" s="4">
        <f t="shared" si="59"/>
        <v>21313.55504692204</v>
      </c>
      <c r="V34" s="4">
        <f t="shared" si="59"/>
        <v>24382.902954245212</v>
      </c>
      <c r="W34" s="4">
        <f t="shared" si="59"/>
        <v>28119.511912071379</v>
      </c>
      <c r="X34" s="4">
        <f t="shared" si="59"/>
        <v>31953.387261610369</v>
      </c>
    </row>
    <row r="35" spans="2:117" x14ac:dyDescent="0.2">
      <c r="B35" s="4" t="s">
        <v>15</v>
      </c>
      <c r="C35" s="4">
        <v>903</v>
      </c>
      <c r="G35" s="4">
        <v>818</v>
      </c>
      <c r="H35" s="4">
        <f>H34*0.2</f>
        <v>1190.702</v>
      </c>
      <c r="I35" s="4">
        <f t="shared" ref="I35:J35" si="60">I34*0.2</f>
        <v>1232.1554680000004</v>
      </c>
      <c r="J35" s="4">
        <f t="shared" si="60"/>
        <v>1274.8754696720009</v>
      </c>
      <c r="L35" s="4">
        <v>1918</v>
      </c>
      <c r="M35" s="4">
        <v>1512</v>
      </c>
      <c r="N35" s="4">
        <v>2803</v>
      </c>
      <c r="O35" s="4">
        <f>SUM(G35:J35)</f>
        <v>4515.7329376720008</v>
      </c>
      <c r="P35" s="4">
        <f>P34*0.2</f>
        <v>9457.7073828227258</v>
      </c>
      <c r="Q35" s="4">
        <f t="shared" ref="Q35:X35" si="61">Q34*0.2</f>
        <v>10442.438304100391</v>
      </c>
      <c r="R35" s="4">
        <f t="shared" si="61"/>
        <v>4651.6353466027649</v>
      </c>
      <c r="S35" s="4">
        <f t="shared" si="61"/>
        <v>3351.6843496720135</v>
      </c>
      <c r="T35" s="4">
        <f t="shared" si="61"/>
        <v>3762.2700616082848</v>
      </c>
      <c r="U35" s="4">
        <f t="shared" si="61"/>
        <v>4262.7110093844085</v>
      </c>
      <c r="V35" s="4">
        <f t="shared" si="61"/>
        <v>4876.5805908490429</v>
      </c>
      <c r="W35" s="4">
        <f t="shared" si="61"/>
        <v>5623.902382414276</v>
      </c>
      <c r="X35" s="4">
        <f t="shared" si="61"/>
        <v>6390.6774523220738</v>
      </c>
    </row>
    <row r="36" spans="2:117" s="8" customFormat="1" x14ac:dyDescent="0.2">
      <c r="B36" s="8" t="s">
        <v>16</v>
      </c>
      <c r="C36" s="8">
        <f>C34-C35</f>
        <v>4824</v>
      </c>
      <c r="D36" s="8">
        <f t="shared" ref="D36:F36" si="62">D34-D35</f>
        <v>0</v>
      </c>
      <c r="E36" s="8">
        <f t="shared" si="62"/>
        <v>0</v>
      </c>
      <c r="F36" s="8">
        <f t="shared" si="62"/>
        <v>0</v>
      </c>
      <c r="G36" s="8">
        <f>G34-G35</f>
        <v>5084</v>
      </c>
      <c r="H36" s="8">
        <f>H34-H35</f>
        <v>4762.808</v>
      </c>
      <c r="I36" s="8">
        <f t="shared" ref="I36:J36" si="63">I34-I35</f>
        <v>4928.6218720000015</v>
      </c>
      <c r="J36" s="8">
        <f t="shared" si="63"/>
        <v>5099.5018786880037</v>
      </c>
      <c r="L36" s="8">
        <f>L34-L35</f>
        <v>16364</v>
      </c>
      <c r="M36" s="8">
        <f t="shared" ref="M36:S36" si="64">M34-M35</f>
        <v>1442</v>
      </c>
      <c r="N36" s="8">
        <f t="shared" si="64"/>
        <v>17418</v>
      </c>
      <c r="O36" s="8">
        <f t="shared" si="64"/>
        <v>38951.801434688001</v>
      </c>
      <c r="P36" s="8">
        <f t="shared" si="64"/>
        <v>37830.829531290903</v>
      </c>
      <c r="Q36" s="8">
        <f t="shared" si="64"/>
        <v>41769.753216401565</v>
      </c>
      <c r="R36" s="8">
        <f t="shared" si="64"/>
        <v>18606.54138641106</v>
      </c>
      <c r="S36" s="8">
        <f t="shared" si="64"/>
        <v>13406.737398688052</v>
      </c>
      <c r="T36" s="8">
        <f t="shared" ref="T36:X36" si="65">T34-T35</f>
        <v>15049.080246433139</v>
      </c>
      <c r="U36" s="8">
        <f t="shared" si="65"/>
        <v>17050.84403753763</v>
      </c>
      <c r="V36" s="8">
        <f t="shared" si="65"/>
        <v>19506.322363396168</v>
      </c>
      <c r="W36" s="8">
        <f t="shared" si="65"/>
        <v>22495.609529657104</v>
      </c>
      <c r="X36" s="8">
        <f t="shared" si="65"/>
        <v>25562.709809288295</v>
      </c>
      <c r="Y36" s="8">
        <f t="shared" ref="Y36:BD36" si="66">X36*(1+$AA$40)</f>
        <v>25307.082711195413</v>
      </c>
      <c r="Z36" s="8">
        <f t="shared" si="66"/>
        <v>25054.011884083458</v>
      </c>
      <c r="AA36" s="8">
        <f t="shared" si="66"/>
        <v>24803.471765242622</v>
      </c>
      <c r="AB36" s="8">
        <f t="shared" si="66"/>
        <v>24555.437047590196</v>
      </c>
      <c r="AC36" s="8">
        <f t="shared" si="66"/>
        <v>24309.882677114292</v>
      </c>
      <c r="AD36" s="8">
        <f t="shared" si="66"/>
        <v>24066.783850343149</v>
      </c>
      <c r="AE36" s="8">
        <f t="shared" si="66"/>
        <v>23826.116011839717</v>
      </c>
      <c r="AF36" s="8">
        <f t="shared" si="66"/>
        <v>23587.85485172132</v>
      </c>
      <c r="AG36" s="8">
        <f t="shared" si="66"/>
        <v>23351.976303204108</v>
      </c>
      <c r="AH36" s="8">
        <f t="shared" si="66"/>
        <v>23118.456540172068</v>
      </c>
      <c r="AI36" s="8">
        <f t="shared" si="66"/>
        <v>22887.271974770349</v>
      </c>
      <c r="AJ36" s="8">
        <f t="shared" si="66"/>
        <v>22658.399255022647</v>
      </c>
      <c r="AK36" s="8">
        <f t="shared" si="66"/>
        <v>22431.815262472421</v>
      </c>
      <c r="AL36" s="8">
        <f t="shared" si="66"/>
        <v>22207.497109847696</v>
      </c>
      <c r="AM36" s="8">
        <f t="shared" si="66"/>
        <v>21985.422138749218</v>
      </c>
      <c r="AN36" s="8">
        <f t="shared" si="66"/>
        <v>21765.567917361725</v>
      </c>
      <c r="AO36" s="8">
        <f t="shared" si="66"/>
        <v>21547.912238188106</v>
      </c>
      <c r="AP36" s="8">
        <f t="shared" si="66"/>
        <v>21332.433115806223</v>
      </c>
      <c r="AQ36" s="8">
        <f t="shared" si="66"/>
        <v>21119.108784648161</v>
      </c>
      <c r="AR36" s="8">
        <f t="shared" si="66"/>
        <v>20907.91769680168</v>
      </c>
      <c r="AS36" s="8">
        <f t="shared" si="66"/>
        <v>20698.838519833662</v>
      </c>
      <c r="AT36" s="8">
        <f t="shared" si="66"/>
        <v>20491.850134635326</v>
      </c>
      <c r="AU36" s="8">
        <f t="shared" si="66"/>
        <v>20286.931633288972</v>
      </c>
      <c r="AV36" s="8">
        <f t="shared" si="66"/>
        <v>20084.062316956082</v>
      </c>
      <c r="AW36" s="8">
        <f t="shared" si="66"/>
        <v>19883.22169378652</v>
      </c>
      <c r="AX36" s="8">
        <f t="shared" si="66"/>
        <v>19684.389476848653</v>
      </c>
      <c r="AY36" s="8">
        <f t="shared" si="66"/>
        <v>19487.545582080165</v>
      </c>
      <c r="AZ36" s="8">
        <f t="shared" si="66"/>
        <v>19292.670126259363</v>
      </c>
      <c r="BA36" s="8">
        <f t="shared" si="66"/>
        <v>19099.74342499677</v>
      </c>
      <c r="BB36" s="8">
        <f t="shared" si="66"/>
        <v>18908.745990746804</v>
      </c>
      <c r="BC36" s="8">
        <f t="shared" si="66"/>
        <v>18719.658530839337</v>
      </c>
      <c r="BD36" s="8">
        <f t="shared" si="66"/>
        <v>18532.461945530944</v>
      </c>
      <c r="BE36" s="8">
        <f t="shared" ref="BE36:CJ36" si="67">BD36*(1+$AA$40)</f>
        <v>18347.137326075634</v>
      </c>
      <c r="BF36" s="8">
        <f t="shared" si="67"/>
        <v>18163.665952814878</v>
      </c>
      <c r="BG36" s="8">
        <f t="shared" si="67"/>
        <v>17982.029293286727</v>
      </c>
      <c r="BH36" s="8">
        <f t="shared" si="67"/>
        <v>17802.209000353858</v>
      </c>
      <c r="BI36" s="8">
        <f t="shared" si="67"/>
        <v>17624.18691035032</v>
      </c>
      <c r="BJ36" s="8">
        <f t="shared" si="67"/>
        <v>17447.945041246818</v>
      </c>
      <c r="BK36" s="8">
        <f t="shared" si="67"/>
        <v>17273.465590834348</v>
      </c>
      <c r="BL36" s="8">
        <f t="shared" si="67"/>
        <v>17100.730934926003</v>
      </c>
      <c r="BM36" s="8">
        <f t="shared" si="67"/>
        <v>16929.723625576742</v>
      </c>
      <c r="BN36" s="8">
        <f t="shared" si="67"/>
        <v>16760.426389320975</v>
      </c>
      <c r="BO36" s="8">
        <f t="shared" si="67"/>
        <v>16592.822125427767</v>
      </c>
      <c r="BP36" s="8">
        <f t="shared" si="67"/>
        <v>16426.893904173488</v>
      </c>
      <c r="BQ36" s="8">
        <f t="shared" si="67"/>
        <v>16262.624965131754</v>
      </c>
      <c r="BR36" s="8">
        <f t="shared" si="67"/>
        <v>16099.998715480437</v>
      </c>
      <c r="BS36" s="8">
        <f t="shared" si="67"/>
        <v>15938.998728325632</v>
      </c>
      <c r="BT36" s="8">
        <f t="shared" si="67"/>
        <v>15779.608741042375</v>
      </c>
      <c r="BU36" s="8">
        <f t="shared" si="67"/>
        <v>15621.812653631951</v>
      </c>
      <c r="BV36" s="8">
        <f t="shared" si="67"/>
        <v>15465.594527095631</v>
      </c>
      <c r="BW36" s="8">
        <f t="shared" si="67"/>
        <v>15310.938581824674</v>
      </c>
      <c r="BX36" s="8">
        <f t="shared" si="67"/>
        <v>15157.829196006427</v>
      </c>
      <c r="BY36" s="8">
        <f t="shared" si="67"/>
        <v>15006.250904046363</v>
      </c>
      <c r="BZ36" s="8">
        <f t="shared" si="67"/>
        <v>14856.188395005898</v>
      </c>
      <c r="CA36" s="8">
        <f t="shared" si="67"/>
        <v>14707.62651105584</v>
      </c>
      <c r="CB36" s="8">
        <f t="shared" si="67"/>
        <v>14560.550245945282</v>
      </c>
      <c r="CC36" s="8">
        <f t="shared" si="67"/>
        <v>14414.944743485828</v>
      </c>
      <c r="CD36" s="8">
        <f t="shared" si="67"/>
        <v>14270.79529605097</v>
      </c>
      <c r="CE36" s="8">
        <f t="shared" si="67"/>
        <v>14128.087343090461</v>
      </c>
      <c r="CF36" s="8">
        <f t="shared" si="67"/>
        <v>13986.806469659556</v>
      </c>
      <c r="CG36" s="8">
        <f t="shared" si="67"/>
        <v>13846.938404962961</v>
      </c>
      <c r="CH36" s="8">
        <f t="shared" si="67"/>
        <v>13708.469020913331</v>
      </c>
      <c r="CI36" s="8">
        <f t="shared" si="67"/>
        <v>13571.384330704199</v>
      </c>
      <c r="CJ36" s="8">
        <f t="shared" si="67"/>
        <v>13435.670487397158</v>
      </c>
      <c r="CK36" s="8">
        <f t="shared" ref="CK36:DM36" si="68">CJ36*(1+$AA$40)</f>
        <v>13301.313782523186</v>
      </c>
      <c r="CL36" s="8">
        <f t="shared" si="68"/>
        <v>13168.300644697954</v>
      </c>
      <c r="CM36" s="8">
        <f t="shared" si="68"/>
        <v>13036.617638250975</v>
      </c>
      <c r="CN36" s="8">
        <f t="shared" si="68"/>
        <v>12906.251461868465</v>
      </c>
      <c r="CO36" s="8">
        <f t="shared" si="68"/>
        <v>12777.188947249781</v>
      </c>
      <c r="CP36" s="8">
        <f t="shared" si="68"/>
        <v>12649.417057777282</v>
      </c>
      <c r="CQ36" s="8">
        <f t="shared" si="68"/>
        <v>12522.922887199509</v>
      </c>
      <c r="CR36" s="8">
        <f t="shared" si="68"/>
        <v>12397.693658327515</v>
      </c>
      <c r="CS36" s="8">
        <f t="shared" si="68"/>
        <v>12273.71672174424</v>
      </c>
      <c r="CT36" s="8">
        <f t="shared" si="68"/>
        <v>12150.979554526797</v>
      </c>
      <c r="CU36" s="8">
        <f t="shared" si="68"/>
        <v>12029.46975898153</v>
      </c>
      <c r="CV36" s="8">
        <f t="shared" si="68"/>
        <v>11909.175061391714</v>
      </c>
      <c r="CW36" s="8">
        <f t="shared" si="68"/>
        <v>11790.083310777796</v>
      </c>
      <c r="CX36" s="8">
        <f t="shared" si="68"/>
        <v>11672.182477670018</v>
      </c>
      <c r="CY36" s="8">
        <f t="shared" si="68"/>
        <v>11555.460652893318</v>
      </c>
      <c r="CZ36" s="8">
        <f t="shared" si="68"/>
        <v>11439.906046364385</v>
      </c>
      <c r="DA36" s="8">
        <f t="shared" si="68"/>
        <v>11325.506985900742</v>
      </c>
      <c r="DB36" s="8">
        <f t="shared" si="68"/>
        <v>11212.251916041734</v>
      </c>
      <c r="DC36" s="8">
        <f t="shared" si="68"/>
        <v>11100.129396881317</v>
      </c>
      <c r="DD36" s="8">
        <f t="shared" si="68"/>
        <v>10989.128102912504</v>
      </c>
      <c r="DE36" s="8">
        <f t="shared" si="68"/>
        <v>10879.236821883378</v>
      </c>
      <c r="DF36" s="8">
        <f t="shared" si="68"/>
        <v>10770.444453664544</v>
      </c>
      <c r="DG36" s="8">
        <f t="shared" si="68"/>
        <v>10662.740009127898</v>
      </c>
      <c r="DH36" s="8">
        <f t="shared" si="68"/>
        <v>10556.112609036618</v>
      </c>
      <c r="DI36" s="8">
        <f t="shared" si="68"/>
        <v>10450.551482946252</v>
      </c>
      <c r="DJ36" s="8">
        <f t="shared" si="68"/>
        <v>10346.045968116789</v>
      </c>
      <c r="DK36" s="8">
        <f t="shared" si="68"/>
        <v>10242.585508435621</v>
      </c>
      <c r="DL36" s="8">
        <f t="shared" si="68"/>
        <v>10140.159653351264</v>
      </c>
      <c r="DM36" s="8">
        <f t="shared" si="68"/>
        <v>10038.758056817751</v>
      </c>
    </row>
    <row r="37" spans="2:117" x14ac:dyDescent="0.2">
      <c r="B37" s="4" t="s">
        <v>1</v>
      </c>
      <c r="C37" s="4">
        <v>2511</v>
      </c>
      <c r="G37" s="4">
        <v>2511.0309999999999</v>
      </c>
      <c r="H37" s="4">
        <v>2511.0309999999999</v>
      </c>
      <c r="I37" s="4">
        <v>2511.0309999999999</v>
      </c>
      <c r="J37" s="4">
        <v>2511.0309999999999</v>
      </c>
      <c r="L37" s="4">
        <f>L36/L38</f>
        <v>2865.8493870402804</v>
      </c>
      <c r="M37" s="4">
        <f>M36/M38</f>
        <v>10299.999999999998</v>
      </c>
      <c r="N37" s="4">
        <f>N36/N38</f>
        <v>2584.2729970326409</v>
      </c>
      <c r="O37" s="4">
        <v>2530</v>
      </c>
      <c r="P37" s="4">
        <v>2530</v>
      </c>
      <c r="Q37" s="4">
        <v>2530</v>
      </c>
      <c r="R37" s="4">
        <v>2530</v>
      </c>
      <c r="S37" s="4">
        <v>2530</v>
      </c>
      <c r="T37" s="4">
        <v>2530</v>
      </c>
      <c r="U37" s="4">
        <v>2530</v>
      </c>
      <c r="V37" s="4">
        <v>2530</v>
      </c>
      <c r="W37" s="4">
        <v>2530</v>
      </c>
      <c r="X37" s="4">
        <v>2530</v>
      </c>
    </row>
    <row r="38" spans="2:117" x14ac:dyDescent="0.2">
      <c r="B38" s="4" t="s">
        <v>17</v>
      </c>
      <c r="C38" s="3">
        <f>C36/C37</f>
        <v>1.9211469534050178</v>
      </c>
      <c r="D38" s="3" t="e">
        <f t="shared" ref="D38:F38" si="69">D36/D37</f>
        <v>#DIV/0!</v>
      </c>
      <c r="E38" s="3" t="e">
        <f t="shared" si="69"/>
        <v>#DIV/0!</v>
      </c>
      <c r="F38" s="3" t="e">
        <f t="shared" si="69"/>
        <v>#DIV/0!</v>
      </c>
      <c r="G38" s="3">
        <f>G36/G37</f>
        <v>2.0246663621436771</v>
      </c>
      <c r="H38" s="3">
        <f>H36/H37</f>
        <v>1.8967539628144774</v>
      </c>
      <c r="I38" s="3">
        <f t="shared" ref="I38:J38" si="70">I36/I37</f>
        <v>1.9627881424004727</v>
      </c>
      <c r="J38" s="3">
        <f t="shared" si="70"/>
        <v>2.0308398736168547</v>
      </c>
      <c r="L38" s="3">
        <v>5.71</v>
      </c>
      <c r="M38" s="3">
        <v>0.14000000000000001</v>
      </c>
      <c r="N38" s="3">
        <v>6.74</v>
      </c>
      <c r="O38" s="3">
        <f t="shared" ref="O38:S38" si="71">O36/O37</f>
        <v>15.395968946516996</v>
      </c>
      <c r="P38" s="3">
        <f t="shared" si="71"/>
        <v>14.952897047941068</v>
      </c>
      <c r="Q38" s="3">
        <f t="shared" si="71"/>
        <v>16.509783880000619</v>
      </c>
      <c r="R38" s="3">
        <f t="shared" si="71"/>
        <v>7.3543641843521979</v>
      </c>
      <c r="S38" s="3">
        <f t="shared" si="71"/>
        <v>5.2991056911810483</v>
      </c>
      <c r="T38" s="3">
        <f t="shared" ref="T38:X38" si="72">T36/T37</f>
        <v>5.9482530618312799</v>
      </c>
      <c r="U38" s="3">
        <f t="shared" si="72"/>
        <v>6.7394640464575613</v>
      </c>
      <c r="V38" s="3">
        <f t="shared" si="72"/>
        <v>7.7100088392870232</v>
      </c>
      <c r="W38" s="3">
        <f t="shared" si="72"/>
        <v>8.8915452686391721</v>
      </c>
      <c r="X38" s="3">
        <f t="shared" si="72"/>
        <v>10.103837869283911</v>
      </c>
    </row>
    <row r="39" spans="2:117" x14ac:dyDescent="0.2">
      <c r="Z39" s="4" t="s">
        <v>34</v>
      </c>
      <c r="AA39" s="10">
        <v>0.02</v>
      </c>
    </row>
    <row r="40" spans="2:117" s="8" customFormat="1" x14ac:dyDescent="0.2">
      <c r="B40" s="8" t="s">
        <v>31</v>
      </c>
      <c r="G40" s="9">
        <f>G26/C26-1</f>
        <v>-1.5594294770206019E-2</v>
      </c>
      <c r="H40" s="9" t="e">
        <f>H26/D26-1</f>
        <v>#DIV/0!</v>
      </c>
      <c r="I40" s="9" t="e">
        <f t="shared" ref="I40:J40" si="73">I26/E26-1</f>
        <v>#DIV/0!</v>
      </c>
      <c r="J40" s="9" t="e">
        <f t="shared" si="73"/>
        <v>#DIV/0!</v>
      </c>
      <c r="L40" s="9"/>
      <c r="M40" s="9">
        <f>M26/L26-1</f>
        <v>1.4034377477523119E-2</v>
      </c>
      <c r="N40" s="9">
        <f t="shared" ref="N40:S40" si="74">N26/M26-1</f>
        <v>6.7420776844381525E-2</v>
      </c>
      <c r="O40" s="9">
        <f t="shared" si="74"/>
        <v>7.3673793791297904E-2</v>
      </c>
      <c r="P40" s="9">
        <f t="shared" si="74"/>
        <v>7.6039422023209013E-2</v>
      </c>
      <c r="Q40" s="9">
        <f t="shared" si="74"/>
        <v>7.849788096663679E-2</v>
      </c>
      <c r="R40" s="9">
        <f t="shared" si="74"/>
        <v>-0.46291479642922972</v>
      </c>
      <c r="S40" s="9">
        <f t="shared" si="74"/>
        <v>-0.18783884645548365</v>
      </c>
      <c r="T40" s="9">
        <f t="shared" ref="T40" si="75">T26/S26-1</f>
        <v>8.2663280426630958E-2</v>
      </c>
      <c r="U40" s="9">
        <f t="shared" ref="U40" si="76">U26/T26-1</f>
        <v>9.0938101853474951E-2</v>
      </c>
      <c r="V40" s="9">
        <f t="shared" ref="V40" si="77">V26/U26-1</f>
        <v>0.10014349617763552</v>
      </c>
      <c r="W40" s="9">
        <f t="shared" ref="W40" si="78">W26/V26-1</f>
        <v>0.10884403817849941</v>
      </c>
      <c r="X40" s="9">
        <f t="shared" ref="X40" si="79">X26/W26-1</f>
        <v>9.9665795815230496E-2</v>
      </c>
      <c r="Z40" s="4" t="s">
        <v>35</v>
      </c>
      <c r="AA40" s="10">
        <v>-0.01</v>
      </c>
    </row>
    <row r="41" spans="2:117" s="8" customFormat="1" x14ac:dyDescent="0.2">
      <c r="B41" s="8" t="s">
        <v>30</v>
      </c>
      <c r="D41" s="9">
        <f>D26/C26-1</f>
        <v>-1</v>
      </c>
      <c r="E41" s="9" t="e">
        <f t="shared" ref="E41:H41" si="80">E26/D26-1</f>
        <v>#DIV/0!</v>
      </c>
      <c r="F41" s="9" t="e">
        <f t="shared" si="80"/>
        <v>#DIV/0!</v>
      </c>
      <c r="G41" s="9" t="e">
        <f t="shared" si="80"/>
        <v>#DIV/0!</v>
      </c>
      <c r="H41" s="9">
        <f t="shared" si="80"/>
        <v>3.0000000000000027E-2</v>
      </c>
      <c r="I41" s="9">
        <f t="shared" ref="I41:J41" si="81">I26/H26-1</f>
        <v>3.0000000000000027E-2</v>
      </c>
      <c r="J41" s="9">
        <f t="shared" si="81"/>
        <v>3.0000000000000027E-2</v>
      </c>
      <c r="Z41" s="4" t="s">
        <v>36</v>
      </c>
      <c r="AA41" s="10">
        <v>0.08</v>
      </c>
    </row>
    <row r="42" spans="2:117" x14ac:dyDescent="0.2">
      <c r="C42" s="7"/>
      <c r="D42" s="7"/>
      <c r="E42" s="7"/>
      <c r="F42" s="7"/>
      <c r="G42" s="7"/>
      <c r="H42" s="7"/>
      <c r="I42" s="7"/>
      <c r="J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Z42" s="8" t="s">
        <v>37</v>
      </c>
      <c r="AA42" s="8">
        <f>NPV(AA41,O36:DM36)+Main!P5-Main!P6</f>
        <v>275409.72230189055</v>
      </c>
    </row>
    <row r="43" spans="2:117" x14ac:dyDescent="0.2">
      <c r="B43" s="4" t="s">
        <v>61</v>
      </c>
      <c r="C43" s="7"/>
      <c r="D43" s="7"/>
      <c r="E43" s="7"/>
      <c r="F43" s="7"/>
      <c r="G43" s="7"/>
      <c r="H43" s="7"/>
      <c r="I43" s="7"/>
      <c r="J43" s="7"/>
      <c r="L43" s="7"/>
      <c r="M43" s="7"/>
      <c r="N43" s="7">
        <f t="shared" ref="N43:X43" si="82">N9/M9-1</f>
        <v>0.1787613450081964</v>
      </c>
      <c r="O43" s="7">
        <f t="shared" si="82"/>
        <v>9.000000000000008E-2</v>
      </c>
      <c r="P43" s="7">
        <f t="shared" si="82"/>
        <v>9.000000000000008E-2</v>
      </c>
      <c r="Q43" s="7">
        <f t="shared" si="82"/>
        <v>9.000000000000008E-2</v>
      </c>
      <c r="R43" s="7">
        <f t="shared" si="82"/>
        <v>-0.8</v>
      </c>
      <c r="S43" s="7">
        <f t="shared" si="82"/>
        <v>-1</v>
      </c>
      <c r="T43" s="7" t="e">
        <f t="shared" si="82"/>
        <v>#DIV/0!</v>
      </c>
      <c r="U43" s="7" t="e">
        <f t="shared" si="82"/>
        <v>#DIV/0!</v>
      </c>
      <c r="V43" s="7" t="e">
        <f t="shared" si="82"/>
        <v>#DIV/0!</v>
      </c>
      <c r="W43" s="7" t="e">
        <f t="shared" si="82"/>
        <v>#DIV/0!</v>
      </c>
      <c r="X43" s="7" t="e">
        <f t="shared" si="82"/>
        <v>#DIV/0!</v>
      </c>
      <c r="Z43" s="4" t="s">
        <v>0</v>
      </c>
      <c r="AA43" s="3">
        <f>AA42/Main!P3</f>
        <v>109.67993716600495</v>
      </c>
    </row>
    <row r="44" spans="2:117" x14ac:dyDescent="0.2">
      <c r="B44" s="4" t="s">
        <v>64</v>
      </c>
      <c r="C44" s="7"/>
      <c r="D44" s="7"/>
      <c r="E44" s="7"/>
      <c r="F44" s="7"/>
      <c r="G44" s="7"/>
      <c r="H44" s="7"/>
      <c r="I44" s="7"/>
      <c r="J44" s="7"/>
      <c r="L44" s="7"/>
      <c r="M44" s="7"/>
      <c r="N44" s="7">
        <f t="shared" ref="N44:X44" si="83">N11/M11-1</f>
        <v>-3.4098582039162717E-2</v>
      </c>
      <c r="O44" s="7">
        <f t="shared" si="83"/>
        <v>8.0000000000000071E-2</v>
      </c>
      <c r="P44" s="7">
        <f t="shared" si="83"/>
        <v>8.0000000000000071E-2</v>
      </c>
      <c r="Q44" s="7">
        <f t="shared" si="83"/>
        <v>8.0000000000000071E-2</v>
      </c>
      <c r="R44" s="7">
        <f t="shared" si="83"/>
        <v>-0.8</v>
      </c>
      <c r="S44" s="7">
        <f t="shared" si="83"/>
        <v>-1</v>
      </c>
      <c r="T44" s="7" t="e">
        <f t="shared" si="83"/>
        <v>#DIV/0!</v>
      </c>
      <c r="U44" s="7" t="e">
        <f t="shared" si="83"/>
        <v>#DIV/0!</v>
      </c>
      <c r="V44" s="7" t="e">
        <f t="shared" si="83"/>
        <v>#DIV/0!</v>
      </c>
      <c r="W44" s="7" t="e">
        <f t="shared" si="83"/>
        <v>#DIV/0!</v>
      </c>
      <c r="X44" s="7" t="e">
        <f t="shared" si="83"/>
        <v>#DIV/0!</v>
      </c>
      <c r="Z44" s="4" t="s">
        <v>38</v>
      </c>
      <c r="AA44" s="7">
        <f>AA43/Main!P2-1</f>
        <v>0.3540732983457402</v>
      </c>
    </row>
    <row r="45" spans="2:117" x14ac:dyDescent="0.2">
      <c r="B45" s="4" t="s">
        <v>65</v>
      </c>
      <c r="C45" s="7"/>
      <c r="D45" s="7"/>
      <c r="E45" s="7"/>
      <c r="F45" s="7"/>
      <c r="G45" s="7"/>
      <c r="H45" s="7"/>
      <c r="I45" s="7"/>
      <c r="J45" s="7"/>
      <c r="L45" s="7"/>
      <c r="M45" s="7"/>
      <c r="N45" s="7">
        <f t="shared" ref="N45:X45" si="84">N12/M12-1</f>
        <v>4.9408783783783772E-2</v>
      </c>
      <c r="O45" s="7">
        <f t="shared" si="84"/>
        <v>0.10000000000000009</v>
      </c>
      <c r="P45" s="7">
        <f t="shared" si="84"/>
        <v>0.10000000000000009</v>
      </c>
      <c r="Q45" s="7">
        <f t="shared" si="84"/>
        <v>0.10000000000000009</v>
      </c>
      <c r="R45" s="7">
        <f t="shared" si="84"/>
        <v>0.10000000000000009</v>
      </c>
      <c r="S45" s="7">
        <f t="shared" si="84"/>
        <v>0.10000000000000009</v>
      </c>
      <c r="T45" s="7">
        <f t="shared" si="84"/>
        <v>5.0000000000000044E-2</v>
      </c>
      <c r="U45" s="7">
        <f t="shared" si="84"/>
        <v>5.0000000000000044E-2</v>
      </c>
      <c r="V45" s="7">
        <f t="shared" si="84"/>
        <v>5.0000000000000044E-2</v>
      </c>
      <c r="W45" s="7">
        <f t="shared" si="84"/>
        <v>5.0000000000000044E-2</v>
      </c>
      <c r="X45" s="7">
        <f t="shared" si="84"/>
        <v>2.7834022398020908E-2</v>
      </c>
    </row>
    <row r="46" spans="2:117" x14ac:dyDescent="0.2">
      <c r="B46" s="4" t="s">
        <v>62</v>
      </c>
      <c r="C46" s="7"/>
      <c r="D46" s="7"/>
      <c r="E46" s="7"/>
      <c r="F46" s="7"/>
      <c r="G46" s="7"/>
      <c r="H46" s="7"/>
      <c r="I46" s="7"/>
      <c r="J46" s="7"/>
      <c r="L46" s="7"/>
      <c r="M46" s="7"/>
      <c r="N46" s="7">
        <f t="shared" ref="N46:X46" si="85">N19/M19-1</f>
        <v>-0.39058931018730014</v>
      </c>
      <c r="O46" s="7">
        <f t="shared" si="85"/>
        <v>9.000000000000008E-2</v>
      </c>
      <c r="P46" s="7">
        <f t="shared" si="85"/>
        <v>9.000000000000008E-2</v>
      </c>
      <c r="Q46" s="7">
        <f t="shared" si="85"/>
        <v>9.000000000000008E-2</v>
      </c>
      <c r="R46" s="7">
        <f t="shared" si="85"/>
        <v>9.000000000000008E-2</v>
      </c>
      <c r="S46" s="7">
        <f t="shared" si="85"/>
        <v>9.000000000000008E-2</v>
      </c>
      <c r="T46" s="7">
        <f t="shared" si="85"/>
        <v>9.000000000000008E-2</v>
      </c>
      <c r="U46" s="7">
        <f t="shared" si="85"/>
        <v>9.000000000000008E-2</v>
      </c>
      <c r="V46" s="7">
        <f t="shared" si="85"/>
        <v>9.000000000000008E-2</v>
      </c>
      <c r="W46" s="7">
        <f t="shared" si="85"/>
        <v>9.000000000000008E-2</v>
      </c>
      <c r="X46" s="7">
        <f t="shared" si="85"/>
        <v>3.5444781520916457E-2</v>
      </c>
    </row>
    <row r="47" spans="2:117" x14ac:dyDescent="0.2">
      <c r="B47" s="4" t="s">
        <v>63</v>
      </c>
      <c r="C47" s="7"/>
      <c r="D47" s="7"/>
      <c r="E47" s="7"/>
      <c r="F47" s="7"/>
      <c r="G47" s="7"/>
      <c r="H47" s="7"/>
      <c r="I47" s="7"/>
      <c r="J47" s="7"/>
      <c r="L47" s="7"/>
      <c r="M47" s="7"/>
      <c r="N47" s="7">
        <f t="shared" ref="N47:X47" si="86">SUM(N22:N23)/SUM(M22:M23)-1</f>
        <v>4.4799999999999951E-2</v>
      </c>
      <c r="O47" s="7">
        <f t="shared" si="86"/>
        <v>7.589076059213884E-2</v>
      </c>
      <c r="P47" s="7">
        <f t="shared" si="86"/>
        <v>7.5913259665887134E-2</v>
      </c>
      <c r="Q47" s="7">
        <f t="shared" si="86"/>
        <v>7.5935720544183294E-2</v>
      </c>
      <c r="R47" s="7">
        <f t="shared" si="86"/>
        <v>7.5958142354894287E-2</v>
      </c>
      <c r="S47" s="7">
        <f t="shared" si="86"/>
        <v>7.5980524232292401E-2</v>
      </c>
      <c r="T47" s="7">
        <f t="shared" si="86"/>
        <v>7.6002865317180479E-2</v>
      </c>
      <c r="U47" s="7">
        <f t="shared" si="86"/>
        <v>7.6025164757013819E-2</v>
      </c>
      <c r="V47" s="7">
        <f t="shared" si="86"/>
        <v>7.6047421706019636E-2</v>
      </c>
      <c r="W47" s="7">
        <f t="shared" si="86"/>
        <v>7.0000000000000062E-2</v>
      </c>
      <c r="X47" s="7">
        <f t="shared" si="86"/>
        <v>4.0512734854053711E-2</v>
      </c>
    </row>
    <row r="49" spans="2:24" x14ac:dyDescent="0.2">
      <c r="B49" s="4" t="s">
        <v>18</v>
      </c>
      <c r="C49" s="7">
        <f t="shared" ref="C49:J49" si="87">C28/C26</f>
        <v>0.77559429477020603</v>
      </c>
      <c r="D49" s="7" t="e">
        <f t="shared" si="87"/>
        <v>#DIV/0!</v>
      </c>
      <c r="E49" s="7" t="e">
        <f t="shared" si="87"/>
        <v>#DIV/0!</v>
      </c>
      <c r="F49" s="7" t="e">
        <f t="shared" si="87"/>
        <v>#DIV/0!</v>
      </c>
      <c r="G49" s="7">
        <f t="shared" si="87"/>
        <v>0.77983128340524177</v>
      </c>
      <c r="H49" s="7">
        <f t="shared" si="87"/>
        <v>0.77983128340524188</v>
      </c>
      <c r="I49" s="7">
        <f t="shared" si="87"/>
        <v>0.77983128340524188</v>
      </c>
      <c r="J49" s="7">
        <f t="shared" si="87"/>
        <v>0.77983128340524188</v>
      </c>
      <c r="L49" s="7">
        <f t="shared" ref="L49:X49" si="88">L28/L26</f>
        <v>0.70630703574380516</v>
      </c>
      <c r="M49" s="7">
        <f t="shared" si="88"/>
        <v>0.73174748398902101</v>
      </c>
      <c r="N49" s="7">
        <f t="shared" si="88"/>
        <v>0.76323089390350329</v>
      </c>
      <c r="O49" s="7">
        <f t="shared" si="88"/>
        <v>0.79238381733204633</v>
      </c>
      <c r="P49" s="7">
        <f t="shared" si="88"/>
        <v>0.79238381733204633</v>
      </c>
      <c r="Q49" s="7">
        <f t="shared" si="88"/>
        <v>0.79238381733204633</v>
      </c>
      <c r="R49" s="7">
        <f t="shared" si="88"/>
        <v>0.79238381733204621</v>
      </c>
      <c r="S49" s="7">
        <f t="shared" si="88"/>
        <v>0.79238381733204633</v>
      </c>
      <c r="T49" s="7">
        <f t="shared" si="88"/>
        <v>0.79238381733204633</v>
      </c>
      <c r="U49" s="7">
        <f t="shared" si="88"/>
        <v>0.79238381733204633</v>
      </c>
      <c r="V49" s="7">
        <f t="shared" si="88"/>
        <v>0.79238381733204633</v>
      </c>
      <c r="W49" s="7">
        <f t="shared" si="88"/>
        <v>0.79238381733204633</v>
      </c>
      <c r="X49" s="7">
        <f t="shared" si="88"/>
        <v>0.79238381733204621</v>
      </c>
    </row>
    <row r="50" spans="2:24" s="8" customFormat="1" x14ac:dyDescent="0.2">
      <c r="B50" s="8" t="s">
        <v>19</v>
      </c>
      <c r="C50" s="9">
        <f t="shared" ref="C50:J50" si="89">C32/C26</f>
        <v>0.36513470681458005</v>
      </c>
      <c r="D50" s="9" t="e">
        <f t="shared" si="89"/>
        <v>#DIV/0!</v>
      </c>
      <c r="E50" s="9" t="e">
        <f t="shared" si="89"/>
        <v>#DIV/0!</v>
      </c>
      <c r="F50" s="9" t="e">
        <f t="shared" si="89"/>
        <v>#DIV/0!</v>
      </c>
      <c r="G50" s="9">
        <f t="shared" si="89"/>
        <v>0.38231695537381671</v>
      </c>
      <c r="H50" s="9">
        <f t="shared" si="89"/>
        <v>0.38231695537381677</v>
      </c>
      <c r="I50" s="9">
        <f t="shared" si="89"/>
        <v>0.38231695537381677</v>
      </c>
      <c r="J50" s="9">
        <f t="shared" si="89"/>
        <v>0.38231695537381688</v>
      </c>
      <c r="L50" s="9">
        <f t="shared" ref="L50:X50" si="90">L32/L26</f>
        <v>0.3083852031779768</v>
      </c>
      <c r="M50" s="9">
        <f t="shared" si="90"/>
        <v>4.9139149962571738E-2</v>
      </c>
      <c r="N50" s="9">
        <f t="shared" si="90"/>
        <v>0.31512591946141377</v>
      </c>
      <c r="O50" s="9">
        <f t="shared" si="90"/>
        <v>0.63741555229296543</v>
      </c>
      <c r="P50" s="9">
        <f t="shared" si="90"/>
        <v>0.64260585163483053</v>
      </c>
      <c r="Q50" s="9">
        <f t="shared" si="90"/>
        <v>0.64795230098498435</v>
      </c>
      <c r="R50" s="9">
        <f t="shared" si="90"/>
        <v>0.51270979912731307</v>
      </c>
      <c r="S50" s="9">
        <f t="shared" si="90"/>
        <v>0.43425171797772799</v>
      </c>
      <c r="T50" s="9">
        <f t="shared" si="90"/>
        <v>0.44836422226300349</v>
      </c>
      <c r="U50" s="9">
        <f t="shared" si="90"/>
        <v>0.46442719150337175</v>
      </c>
      <c r="V50" s="9">
        <f t="shared" si="90"/>
        <v>0.48235617816782811</v>
      </c>
      <c r="W50" s="9">
        <f t="shared" si="90"/>
        <v>0.5016046512552359</v>
      </c>
      <c r="X50" s="9">
        <f t="shared" si="90"/>
        <v>0.51738178137648327</v>
      </c>
    </row>
    <row r="51" spans="2:24" x14ac:dyDescent="0.2">
      <c r="B51" s="4" t="s">
        <v>20</v>
      </c>
      <c r="C51" s="7">
        <f t="shared" ref="C51:J51" si="91">C112/C26</f>
        <v>0</v>
      </c>
      <c r="D51" s="7" t="e">
        <f t="shared" si="91"/>
        <v>#DIV/0!</v>
      </c>
      <c r="E51" s="7" t="e">
        <f t="shared" si="91"/>
        <v>#DIV/0!</v>
      </c>
      <c r="F51" s="7" t="e">
        <f t="shared" si="91"/>
        <v>#DIV/0!</v>
      </c>
      <c r="G51" s="7">
        <f t="shared" si="91"/>
        <v>0</v>
      </c>
      <c r="H51" s="7">
        <f t="shared" si="91"/>
        <v>0</v>
      </c>
      <c r="I51" s="7">
        <f t="shared" si="91"/>
        <v>0</v>
      </c>
      <c r="J51" s="7">
        <f t="shared" si="91"/>
        <v>0</v>
      </c>
      <c r="L51" s="7">
        <f t="shared" ref="L51:X51" si="92">L112/L26</f>
        <v>0.27908506654521531</v>
      </c>
      <c r="M51" s="7">
        <f t="shared" si="92"/>
        <v>0.16980786825251601</v>
      </c>
      <c r="N51" s="7">
        <f t="shared" si="92"/>
        <v>0.28645119062461039</v>
      </c>
      <c r="O51" s="7">
        <f t="shared" si="92"/>
        <v>0.56912255927672484</v>
      </c>
      <c r="P51" s="7">
        <f t="shared" si="92"/>
        <v>0.51435838314523663</v>
      </c>
      <c r="Q51" s="7">
        <f t="shared" si="92"/>
        <v>0.52673069479820189</v>
      </c>
      <c r="R51" s="7">
        <f t="shared" si="92"/>
        <v>0.46720175680843434</v>
      </c>
      <c r="S51" s="7">
        <f t="shared" si="92"/>
        <v>0.39144850782278173</v>
      </c>
      <c r="T51" s="7">
        <f t="shared" si="92"/>
        <v>0.406454571586508</v>
      </c>
      <c r="U51" s="7">
        <f t="shared" si="92"/>
        <v>0.42351752782312568</v>
      </c>
      <c r="V51" s="7">
        <f t="shared" si="92"/>
        <v>0.44258658560840392</v>
      </c>
      <c r="W51" s="7">
        <f t="shared" si="92"/>
        <v>0.4631447506873671</v>
      </c>
      <c r="X51" s="7">
        <f t="shared" si="92"/>
        <v>0.48048444800217238</v>
      </c>
    </row>
    <row r="52" spans="2:24" x14ac:dyDescent="0.2">
      <c r="L52" s="7"/>
      <c r="M52" s="7"/>
      <c r="N52" s="7"/>
    </row>
    <row r="53" spans="2:24" x14ac:dyDescent="0.2">
      <c r="B53" s="4" t="s">
        <v>23</v>
      </c>
      <c r="G53" s="4">
        <f>G54-G55</f>
        <v>-32320</v>
      </c>
      <c r="H53" s="4">
        <f>G53+H36</f>
        <v>-27557.191999999999</v>
      </c>
      <c r="I53" s="4">
        <f>H53+I36</f>
        <v>-22628.570127999999</v>
      </c>
      <c r="J53" s="4">
        <f>I53+J36</f>
        <v>-17529.068249311997</v>
      </c>
      <c r="M53" s="4">
        <f>M54-M55</f>
        <v>-36253</v>
      </c>
      <c r="N53" s="4">
        <f>N54-N55</f>
        <v>-28625</v>
      </c>
      <c r="O53" s="4">
        <f>J53</f>
        <v>-17529.068249311997</v>
      </c>
      <c r="P53" s="4">
        <f t="shared" ref="P53:X53" si="93">O53+P36</f>
        <v>20301.761281978906</v>
      </c>
      <c r="Q53" s="4">
        <f t="shared" si="93"/>
        <v>62071.514498380471</v>
      </c>
      <c r="R53" s="4">
        <f t="shared" si="93"/>
        <v>80678.055884791538</v>
      </c>
      <c r="S53" s="4">
        <f t="shared" si="93"/>
        <v>94084.793283479594</v>
      </c>
      <c r="T53" s="4">
        <f t="shared" si="93"/>
        <v>109133.87352991273</v>
      </c>
      <c r="U53" s="4">
        <f t="shared" si="93"/>
        <v>126184.71756745037</v>
      </c>
      <c r="V53" s="4">
        <f t="shared" si="93"/>
        <v>145691.03993084654</v>
      </c>
      <c r="W53" s="4">
        <f t="shared" si="93"/>
        <v>168186.64946050366</v>
      </c>
      <c r="X53" s="4">
        <f t="shared" si="93"/>
        <v>193749.35926979195</v>
      </c>
    </row>
    <row r="54" spans="2:24" x14ac:dyDescent="0.2">
      <c r="B54" s="4" t="s">
        <v>3</v>
      </c>
      <c r="G54" s="4">
        <f>8629+599</f>
        <v>9228</v>
      </c>
      <c r="M54" s="4">
        <f>M57+M58</f>
        <v>7093</v>
      </c>
      <c r="N54" s="4">
        <f>N57+N58</f>
        <v>13689</v>
      </c>
    </row>
    <row r="55" spans="2:24" x14ac:dyDescent="0.2">
      <c r="B55" s="4" t="s">
        <v>4</v>
      </c>
      <c r="G55" s="4">
        <f>33484+1409+6655</f>
        <v>41548</v>
      </c>
      <c r="M55" s="4">
        <f>SUM(M80:M82)</f>
        <v>43346</v>
      </c>
      <c r="N55" s="4">
        <f>SUM(N80:N82)</f>
        <v>42314</v>
      </c>
    </row>
    <row r="57" spans="2:24" x14ac:dyDescent="0.2">
      <c r="B57" s="4" t="s">
        <v>3</v>
      </c>
      <c r="G57" s="4">
        <f>8629+599</f>
        <v>9228</v>
      </c>
      <c r="M57" s="4">
        <v>6841</v>
      </c>
      <c r="N57" s="4">
        <v>13242</v>
      </c>
    </row>
    <row r="58" spans="2:24" x14ac:dyDescent="0.2">
      <c r="B58" s="4" t="s">
        <v>86</v>
      </c>
      <c r="M58" s="4">
        <v>252</v>
      </c>
      <c r="N58" s="4">
        <v>447</v>
      </c>
    </row>
    <row r="59" spans="2:24" x14ac:dyDescent="0.2">
      <c r="B59" s="4" t="s">
        <v>67</v>
      </c>
      <c r="M59" s="4">
        <v>10349</v>
      </c>
      <c r="N59" s="4">
        <v>10278</v>
      </c>
    </row>
    <row r="60" spans="2:24" x14ac:dyDescent="0.2">
      <c r="B60" s="4" t="s">
        <v>68</v>
      </c>
      <c r="M60" s="4">
        <v>6358</v>
      </c>
      <c r="N60" s="4">
        <v>6109</v>
      </c>
    </row>
    <row r="61" spans="2:24" x14ac:dyDescent="0.2">
      <c r="B61" s="4" t="s">
        <v>69</v>
      </c>
      <c r="M61" s="4">
        <v>8368</v>
      </c>
      <c r="N61" s="4">
        <v>8706</v>
      </c>
    </row>
    <row r="62" spans="2:24" x14ac:dyDescent="0.2">
      <c r="B62" s="4" t="s">
        <v>70</v>
      </c>
      <c r="M62" s="4">
        <v>252</v>
      </c>
      <c r="N62" s="4">
        <v>463</v>
      </c>
    </row>
    <row r="63" spans="2:24" x14ac:dyDescent="0.2">
      <c r="B63" s="4" t="s">
        <v>72</v>
      </c>
      <c r="M63" s="4">
        <v>326</v>
      </c>
      <c r="N63" s="4">
        <v>307</v>
      </c>
    </row>
    <row r="64" spans="2:24" x14ac:dyDescent="0.2">
      <c r="B64" s="4" t="s">
        <v>73</v>
      </c>
      <c r="M64" s="4">
        <v>14966</v>
      </c>
      <c r="N64" s="4">
        <v>16360</v>
      </c>
    </row>
    <row r="65" spans="2:14" x14ac:dyDescent="0.2">
      <c r="B65" s="4" t="s">
        <v>74</v>
      </c>
      <c r="M65" s="4">
        <v>17763</v>
      </c>
      <c r="N65" s="4">
        <v>18283</v>
      </c>
    </row>
    <row r="66" spans="2:14" x14ac:dyDescent="0.2">
      <c r="B66" s="4" t="s">
        <v>75</v>
      </c>
      <c r="M66" s="4">
        <v>8262</v>
      </c>
      <c r="N66" s="4">
        <v>7984</v>
      </c>
    </row>
    <row r="67" spans="2:14" x14ac:dyDescent="0.2">
      <c r="B67" s="4" t="s">
        <v>71</v>
      </c>
      <c r="M67" s="4">
        <f>SUM(M63:M66)</f>
        <v>41317</v>
      </c>
      <c r="N67" s="4">
        <f>SUM(N63:N66)</f>
        <v>42934</v>
      </c>
    </row>
    <row r="68" spans="2:14" x14ac:dyDescent="0.2">
      <c r="B68" s="4" t="s">
        <v>76</v>
      </c>
      <c r="M68" s="4">
        <v>18266</v>
      </c>
      <c r="N68" s="4">
        <v>19155</v>
      </c>
    </row>
    <row r="69" spans="2:14" x14ac:dyDescent="0.2">
      <c r="B69" s="4" t="s">
        <v>94</v>
      </c>
      <c r="M69" s="4">
        <f>M67-M68</f>
        <v>23051</v>
      </c>
      <c r="N69" s="4">
        <f>N67-N68</f>
        <v>23779</v>
      </c>
    </row>
    <row r="70" spans="2:14" x14ac:dyDescent="0.2">
      <c r="B70" s="4" t="s">
        <v>77</v>
      </c>
      <c r="M70" s="4">
        <v>21197</v>
      </c>
      <c r="N70" s="4">
        <v>21668</v>
      </c>
    </row>
    <row r="71" spans="2:14" x14ac:dyDescent="0.2">
      <c r="B71" s="4" t="s">
        <v>78</v>
      </c>
      <c r="M71" s="4">
        <v>18011</v>
      </c>
      <c r="N71" s="4">
        <v>16370</v>
      </c>
    </row>
    <row r="72" spans="2:14" x14ac:dyDescent="0.2">
      <c r="B72" s="4" t="s">
        <v>79</v>
      </c>
      <c r="M72" s="4">
        <v>11996</v>
      </c>
      <c r="N72" s="4">
        <v>16044</v>
      </c>
    </row>
    <row r="73" spans="2:14" x14ac:dyDescent="0.2">
      <c r="B73" s="4" t="s">
        <v>91</v>
      </c>
      <c r="M73" s="4">
        <f>SUM(M69:M72,M57:M62)</f>
        <v>106675</v>
      </c>
      <c r="N73" s="4">
        <f>SUM(N69:N72,N57:N62)</f>
        <v>117106</v>
      </c>
    </row>
    <row r="75" spans="2:14" x14ac:dyDescent="0.2">
      <c r="B75" s="4" t="s">
        <v>80</v>
      </c>
      <c r="M75" s="4">
        <v>1372</v>
      </c>
      <c r="N75" s="4">
        <v>2649</v>
      </c>
    </row>
    <row r="76" spans="2:14" x14ac:dyDescent="0.2">
      <c r="B76" s="4" t="s">
        <v>81</v>
      </c>
      <c r="M76" s="4">
        <v>3922</v>
      </c>
      <c r="N76" s="4">
        <v>4079</v>
      </c>
    </row>
    <row r="77" spans="2:14" x14ac:dyDescent="0.2">
      <c r="B77" s="4" t="s">
        <v>82</v>
      </c>
      <c r="M77" s="4">
        <v>15766</v>
      </c>
      <c r="N77" s="4">
        <v>15694</v>
      </c>
    </row>
    <row r="78" spans="2:14" x14ac:dyDescent="0.2">
      <c r="B78" s="4" t="s">
        <v>83</v>
      </c>
      <c r="M78" s="4">
        <v>2649</v>
      </c>
      <c r="N78" s="4">
        <v>3914</v>
      </c>
    </row>
    <row r="79" spans="2:14" x14ac:dyDescent="0.2">
      <c r="B79" s="4" t="s">
        <v>84</v>
      </c>
      <c r="M79" s="4">
        <v>1985</v>
      </c>
      <c r="N79" s="4">
        <v>2084</v>
      </c>
    </row>
    <row r="80" spans="2:14" x14ac:dyDescent="0.2">
      <c r="B80" s="4" t="s">
        <v>85</v>
      </c>
      <c r="M80" s="4">
        <v>33683</v>
      </c>
      <c r="N80" s="4">
        <v>34462</v>
      </c>
    </row>
    <row r="81" spans="2:24" x14ac:dyDescent="0.2">
      <c r="B81" s="4" t="s">
        <v>87</v>
      </c>
      <c r="M81" s="4">
        <v>871</v>
      </c>
      <c r="N81" s="4">
        <v>1387</v>
      </c>
    </row>
    <row r="82" spans="2:24" x14ac:dyDescent="0.2">
      <c r="B82" s="4" t="s">
        <v>88</v>
      </c>
      <c r="M82" s="4">
        <v>8792</v>
      </c>
      <c r="N82" s="4">
        <v>6465</v>
      </c>
    </row>
    <row r="83" spans="2:24" x14ac:dyDescent="0.2">
      <c r="B83" s="4" t="s">
        <v>93</v>
      </c>
      <c r="M83" s="4">
        <f>SUM(M76:M82)</f>
        <v>67668</v>
      </c>
      <c r="N83" s="4">
        <f>SUM(N76:N82)</f>
        <v>68085</v>
      </c>
    </row>
    <row r="84" spans="2:24" x14ac:dyDescent="0.2">
      <c r="B84" s="4" t="s">
        <v>89</v>
      </c>
      <c r="M84" s="4">
        <f>M73-M83</f>
        <v>39007</v>
      </c>
      <c r="N84" s="4">
        <f>N73-N83</f>
        <v>49021</v>
      </c>
    </row>
    <row r="85" spans="2:24" x14ac:dyDescent="0.2">
      <c r="B85" s="4" t="s">
        <v>92</v>
      </c>
      <c r="M85" s="4">
        <f>M84+M83</f>
        <v>106675</v>
      </c>
      <c r="N85" s="4">
        <f>N84+N83</f>
        <v>117106</v>
      </c>
    </row>
    <row r="87" spans="2:24" x14ac:dyDescent="0.2">
      <c r="B87" s="4" t="s">
        <v>90</v>
      </c>
      <c r="M87" s="4">
        <f>M59/M26*360</f>
        <v>61.9752141728354</v>
      </c>
      <c r="N87" s="4">
        <f>N59/N26*360</f>
        <v>57.662386236130153</v>
      </c>
    </row>
    <row r="89" spans="2:24" x14ac:dyDescent="0.2">
      <c r="B89" s="4" t="s">
        <v>96</v>
      </c>
      <c r="L89" s="4">
        <f t="shared" ref="L89:X89" si="94">L36</f>
        <v>16364</v>
      </c>
      <c r="M89" s="4">
        <f t="shared" si="94"/>
        <v>1442</v>
      </c>
      <c r="N89" s="4">
        <f t="shared" si="94"/>
        <v>17418</v>
      </c>
      <c r="O89" s="4">
        <f t="shared" si="94"/>
        <v>38951.801434688001</v>
      </c>
      <c r="P89" s="4">
        <f t="shared" si="94"/>
        <v>37830.829531290903</v>
      </c>
      <c r="Q89" s="4">
        <f t="shared" si="94"/>
        <v>41769.753216401565</v>
      </c>
      <c r="R89" s="4">
        <f t="shared" si="94"/>
        <v>18606.54138641106</v>
      </c>
      <c r="S89" s="4">
        <f t="shared" si="94"/>
        <v>13406.737398688052</v>
      </c>
      <c r="T89" s="4">
        <f t="shared" si="94"/>
        <v>15049.080246433139</v>
      </c>
      <c r="U89" s="4">
        <f t="shared" si="94"/>
        <v>17050.84403753763</v>
      </c>
      <c r="V89" s="4">
        <f t="shared" si="94"/>
        <v>19506.322363396168</v>
      </c>
      <c r="W89" s="4">
        <f t="shared" si="94"/>
        <v>22495.609529657104</v>
      </c>
      <c r="X89" s="4">
        <f t="shared" si="94"/>
        <v>25562.709809288295</v>
      </c>
    </row>
    <row r="90" spans="2:24" x14ac:dyDescent="0.2">
      <c r="B90" s="4" t="s">
        <v>97</v>
      </c>
      <c r="L90" s="4">
        <v>14526</v>
      </c>
      <c r="M90" s="4">
        <v>377</v>
      </c>
      <c r="N90" s="4">
        <v>17133</v>
      </c>
    </row>
    <row r="91" spans="2:24" x14ac:dyDescent="0.2">
      <c r="B91" s="4" t="s">
        <v>98</v>
      </c>
      <c r="L91" s="4">
        <f>2085+1824</f>
        <v>3909</v>
      </c>
      <c r="M91" s="4">
        <f>2044+1828</f>
        <v>3872</v>
      </c>
      <c r="N91" s="4">
        <f>2395+2104</f>
        <v>4499</v>
      </c>
      <c r="O91" s="4">
        <f>N91*(1+O40)</f>
        <v>4830.4583982670492</v>
      </c>
      <c r="P91" s="4">
        <f>O91*1.08</f>
        <v>5216.8950701284139</v>
      </c>
      <c r="Q91" s="4">
        <f t="shared" ref="Q91:R91" si="95">P91*1.08</f>
        <v>5634.2466757386874</v>
      </c>
      <c r="R91" s="4">
        <f t="shared" si="95"/>
        <v>6084.9864097977825</v>
      </c>
      <c r="S91" s="4">
        <f t="shared" ref="S91:X91" si="96">R91*(1+S40)</f>
        <v>4941.9895818840723</v>
      </c>
      <c r="T91" s="4">
        <f t="shared" si="96"/>
        <v>5350.5106525568444</v>
      </c>
      <c r="U91" s="4">
        <f t="shared" si="96"/>
        <v>5837.0759352471614</v>
      </c>
      <c r="V91" s="4">
        <f t="shared" si="96"/>
        <v>6421.6211268571542</v>
      </c>
      <c r="W91" s="4">
        <f t="shared" si="96"/>
        <v>7120.576301956653</v>
      </c>
      <c r="X91" s="4">
        <f t="shared" si="96"/>
        <v>7830.2542057542341</v>
      </c>
    </row>
    <row r="92" spans="2:24" x14ac:dyDescent="0.2">
      <c r="B92" s="4" t="s">
        <v>107</v>
      </c>
      <c r="L92" s="4">
        <v>1749</v>
      </c>
      <c r="M92" s="4">
        <v>792</v>
      </c>
      <c r="N92" s="4">
        <v>39</v>
      </c>
      <c r="O92" s="4">
        <f t="shared" ref="O92:X92" si="97">N92*(1+O40)</f>
        <v>41.873277957860616</v>
      </c>
      <c r="P92" s="4">
        <f t="shared" si="97"/>
        <v>45.057297811993514</v>
      </c>
      <c r="Q92" s="4">
        <f t="shared" si="97"/>
        <v>48.594200212317688</v>
      </c>
      <c r="R92" s="4">
        <f t="shared" si="97"/>
        <v>26.099225913391415</v>
      </c>
      <c r="S92" s="4">
        <f t="shared" si="97"/>
        <v>21.196777424438906</v>
      </c>
      <c r="T92" s="4">
        <f t="shared" si="97"/>
        <v>22.948972580816179</v>
      </c>
      <c r="U92" s="4">
        <f t="shared" si="97"/>
        <v>25.035908586803043</v>
      </c>
      <c r="V92" s="4">
        <f t="shared" si="97"/>
        <v>27.543092002669184</v>
      </c>
      <c r="W92" s="4">
        <f t="shared" si="97"/>
        <v>30.540993360161629</v>
      </c>
      <c r="X92" s="4">
        <f t="shared" si="97"/>
        <v>33.58488576838981</v>
      </c>
    </row>
    <row r="93" spans="2:24" x14ac:dyDescent="0.2">
      <c r="B93" s="4" t="s">
        <v>99</v>
      </c>
      <c r="L93" s="4">
        <v>1419</v>
      </c>
      <c r="M93" s="4">
        <v>-340</v>
      </c>
      <c r="N93" s="4">
        <v>-14</v>
      </c>
      <c r="O93" s="4">
        <f t="shared" ref="O93:X93" si="98">N93*(1+O40)</f>
        <v>-15.031433113078171</v>
      </c>
      <c r="P93" s="4">
        <f t="shared" si="98"/>
        <v>-16.174414599177162</v>
      </c>
      <c r="Q93" s="4">
        <f t="shared" si="98"/>
        <v>-17.444071871088404</v>
      </c>
      <c r="R93" s="4">
        <f t="shared" si="98"/>
        <v>-9.3689528919866625</v>
      </c>
      <c r="S93" s="4">
        <f t="shared" si="98"/>
        <v>-7.6090995882601202</v>
      </c>
      <c r="T93" s="4">
        <f t="shared" si="98"/>
        <v>-8.2380927213186279</v>
      </c>
      <c r="U93" s="4">
        <f t="shared" si="98"/>
        <v>-8.9872492362882728</v>
      </c>
      <c r="V93" s="4">
        <f t="shared" si="98"/>
        <v>-9.8872637958299645</v>
      </c>
      <c r="W93" s="4">
        <f t="shared" si="98"/>
        <v>-10.963433513904176</v>
      </c>
      <c r="X93" s="4">
        <f t="shared" si="98"/>
        <v>-12.056112839934805</v>
      </c>
    </row>
    <row r="94" spans="2:24" x14ac:dyDescent="0.2">
      <c r="B94" s="4" t="s">
        <v>100</v>
      </c>
      <c r="L94" s="4">
        <v>0</v>
      </c>
      <c r="M94" s="4">
        <v>11409</v>
      </c>
      <c r="N94" s="4">
        <v>3456</v>
      </c>
      <c r="O94" s="4">
        <f t="shared" ref="O94:X94" si="99">N94*(1+O40)</f>
        <v>3710.6166313427257</v>
      </c>
      <c r="P94" s="4">
        <f t="shared" si="99"/>
        <v>3992.7697753397333</v>
      </c>
      <c r="Q94" s="4">
        <f t="shared" si="99"/>
        <v>4306.1937418915368</v>
      </c>
      <c r="R94" s="4">
        <f t="shared" si="99"/>
        <v>2312.7929424789932</v>
      </c>
      <c r="S94" s="4">
        <f t="shared" si="99"/>
        <v>1878.3605840733553</v>
      </c>
      <c r="T94" s="4">
        <f t="shared" si="99"/>
        <v>2033.6320317769414</v>
      </c>
      <c r="U94" s="4">
        <f t="shared" si="99"/>
        <v>2218.5666686151621</v>
      </c>
      <c r="V94" s="4">
        <f t="shared" si="99"/>
        <v>2440.7416913134543</v>
      </c>
      <c r="W94" s="4">
        <f t="shared" si="99"/>
        <v>2706.4018731466313</v>
      </c>
      <c r="X94" s="4">
        <f t="shared" si="99"/>
        <v>2976.1375696296209</v>
      </c>
    </row>
    <row r="95" spans="2:24" x14ac:dyDescent="0.2">
      <c r="B95" s="4" t="s">
        <v>87</v>
      </c>
      <c r="L95" s="4">
        <v>-1568</v>
      </c>
      <c r="M95" s="4">
        <v>-1899</v>
      </c>
      <c r="N95" s="4">
        <v>-1249</v>
      </c>
      <c r="O95" s="4">
        <f t="shared" ref="O95:X95" si="100">N95*(1+O40)</f>
        <v>-1341.0185684453311</v>
      </c>
      <c r="P95" s="4">
        <f t="shared" si="100"/>
        <v>-1442.9888453123053</v>
      </c>
      <c r="Q95" s="4">
        <f t="shared" si="100"/>
        <v>-1556.2604119278153</v>
      </c>
      <c r="R95" s="4">
        <f t="shared" si="100"/>
        <v>-835.84444014938151</v>
      </c>
      <c r="S95" s="4">
        <f t="shared" si="100"/>
        <v>-678.84038469549216</v>
      </c>
      <c r="T95" s="4">
        <f t="shared" si="100"/>
        <v>-734.95555778049766</v>
      </c>
      <c r="U95" s="4">
        <f t="shared" si="100"/>
        <v>-801.79102115171804</v>
      </c>
      <c r="V95" s="4">
        <f t="shared" si="100"/>
        <v>-882.08517721368764</v>
      </c>
      <c r="W95" s="4">
        <f t="shared" si="100"/>
        <v>-978.09488991902265</v>
      </c>
      <c r="X95" s="4">
        <f t="shared" si="100"/>
        <v>-1075.5774955056122</v>
      </c>
    </row>
    <row r="96" spans="2:24" x14ac:dyDescent="0.2">
      <c r="B96" s="4" t="s">
        <v>112</v>
      </c>
      <c r="L96" s="4">
        <v>541</v>
      </c>
      <c r="M96" s="4">
        <v>645</v>
      </c>
      <c r="N96" s="4">
        <v>761</v>
      </c>
      <c r="O96" s="4">
        <f>N96*(1+O41)</f>
        <v>761</v>
      </c>
      <c r="P96" s="4">
        <f>O96*1.1</f>
        <v>837.1</v>
      </c>
      <c r="Q96" s="4">
        <f t="shared" ref="Q96:X96" si="101">P96*1.1</f>
        <v>920.81000000000006</v>
      </c>
      <c r="R96" s="4">
        <f t="shared" si="101"/>
        <v>1012.8910000000002</v>
      </c>
      <c r="S96" s="4">
        <f t="shared" si="101"/>
        <v>1114.1801000000003</v>
      </c>
      <c r="T96" s="4">
        <f t="shared" si="101"/>
        <v>1225.5981100000004</v>
      </c>
      <c r="U96" s="4">
        <f t="shared" si="101"/>
        <v>1348.1579210000004</v>
      </c>
      <c r="V96" s="4">
        <f t="shared" si="101"/>
        <v>1482.9737131000006</v>
      </c>
      <c r="W96" s="4">
        <f t="shared" si="101"/>
        <v>1631.2710844100009</v>
      </c>
      <c r="X96" s="4">
        <f t="shared" si="101"/>
        <v>1794.3981928510011</v>
      </c>
    </row>
    <row r="97" spans="2:116" x14ac:dyDescent="0.2">
      <c r="B97" s="4" t="s">
        <v>47</v>
      </c>
      <c r="L97" s="4">
        <v>1301</v>
      </c>
      <c r="M97" s="4">
        <v>355</v>
      </c>
      <c r="N97" s="4">
        <v>510</v>
      </c>
      <c r="O97" s="4">
        <f t="shared" ref="O97:X97" si="102">N97*(1+O40)</f>
        <v>547.57363483356198</v>
      </c>
      <c r="P97" s="4">
        <f t="shared" si="102"/>
        <v>589.21081754145371</v>
      </c>
      <c r="Q97" s="4">
        <f t="shared" si="102"/>
        <v>635.46261816107744</v>
      </c>
      <c r="R97" s="4">
        <f t="shared" si="102"/>
        <v>341.29756963665693</v>
      </c>
      <c r="S97" s="4">
        <f t="shared" si="102"/>
        <v>277.1886278580472</v>
      </c>
      <c r="T97" s="4">
        <f t="shared" si="102"/>
        <v>300.10194913375</v>
      </c>
      <c r="U97" s="4">
        <f t="shared" si="102"/>
        <v>327.39265075050133</v>
      </c>
      <c r="V97" s="4">
        <f t="shared" si="102"/>
        <v>360.17889541952013</v>
      </c>
      <c r="W97" s="4">
        <f t="shared" si="102"/>
        <v>399.38222086365215</v>
      </c>
      <c r="X97" s="4">
        <f t="shared" si="102"/>
        <v>439.1869677404822</v>
      </c>
    </row>
    <row r="98" spans="2:116" x14ac:dyDescent="0.2">
      <c r="B98" s="4" t="s">
        <v>67</v>
      </c>
      <c r="L98" s="4">
        <v>-644</v>
      </c>
      <c r="M98" s="4">
        <v>-1148</v>
      </c>
      <c r="N98" s="4">
        <v>-244</v>
      </c>
      <c r="O98" s="4">
        <f t="shared" ref="O98:X98" si="103">N98*(1+O40)</f>
        <v>-261.97640568507671</v>
      </c>
      <c r="P98" s="4">
        <f t="shared" si="103"/>
        <v>-281.89694015708767</v>
      </c>
      <c r="Q98" s="4">
        <f t="shared" si="103"/>
        <v>-304.0252526103979</v>
      </c>
      <c r="R98" s="4">
        <f t="shared" si="103"/>
        <v>-163.2874646889104</v>
      </c>
      <c r="S98" s="4">
        <f t="shared" si="103"/>
        <v>-132.61573568110495</v>
      </c>
      <c r="T98" s="4">
        <f t="shared" si="103"/>
        <v>-143.57818742869611</v>
      </c>
      <c r="U98" s="4">
        <f t="shared" si="103"/>
        <v>-156.63491526102419</v>
      </c>
      <c r="V98" s="4">
        <f t="shared" si="103"/>
        <v>-172.32088329875083</v>
      </c>
      <c r="W98" s="4">
        <f t="shared" si="103"/>
        <v>-191.07698409947281</v>
      </c>
      <c r="X98" s="4">
        <f t="shared" si="103"/>
        <v>-210.1208237817209</v>
      </c>
    </row>
    <row r="99" spans="2:116" x14ac:dyDescent="0.2">
      <c r="B99" s="4" t="s">
        <v>68</v>
      </c>
      <c r="L99" s="4">
        <v>-161</v>
      </c>
      <c r="M99" s="4">
        <v>-816</v>
      </c>
      <c r="N99" s="4">
        <v>-835</v>
      </c>
      <c r="O99" s="4">
        <f t="shared" ref="O99:X99" si="104">N99*(1+O40)</f>
        <v>-896.51761781573373</v>
      </c>
      <c r="P99" s="4">
        <f t="shared" si="104"/>
        <v>-964.68829930806635</v>
      </c>
      <c r="Q99" s="4">
        <f t="shared" si="104"/>
        <v>-1040.4142865970582</v>
      </c>
      <c r="R99" s="4">
        <f t="shared" si="104"/>
        <v>-558.79111891491868</v>
      </c>
      <c r="S99" s="4">
        <f t="shared" si="104"/>
        <v>-453.82843972837139</v>
      </c>
      <c r="T99" s="4">
        <f t="shared" si="104"/>
        <v>-491.34338730721817</v>
      </c>
      <c r="U99" s="4">
        <f t="shared" si="104"/>
        <v>-536.02522230719342</v>
      </c>
      <c r="V99" s="4">
        <f t="shared" si="104"/>
        <v>-589.70466210843006</v>
      </c>
      <c r="W99" s="4">
        <f t="shared" si="104"/>
        <v>-653.89049886499913</v>
      </c>
      <c r="X99" s="4">
        <f t="shared" si="104"/>
        <v>-719.06101581039729</v>
      </c>
    </row>
    <row r="100" spans="2:116" x14ac:dyDescent="0.2">
      <c r="B100" s="4" t="s">
        <v>81</v>
      </c>
      <c r="L100" s="4">
        <v>-289</v>
      </c>
      <c r="M100" s="4">
        <v>-380</v>
      </c>
      <c r="N100" s="4">
        <v>182</v>
      </c>
      <c r="O100" s="4">
        <f t="shared" ref="O100:X100" si="105">N100*(1+O40)</f>
        <v>195.40863047001622</v>
      </c>
      <c r="P100" s="4">
        <f t="shared" si="105"/>
        <v>210.26738978930308</v>
      </c>
      <c r="Q100" s="4">
        <f t="shared" si="105"/>
        <v>226.77293432414922</v>
      </c>
      <c r="R100" s="4">
        <f t="shared" si="105"/>
        <v>121.7963875958266</v>
      </c>
      <c r="S100" s="4">
        <f t="shared" si="105"/>
        <v>98.918294647381558</v>
      </c>
      <c r="T100" s="4">
        <f t="shared" si="105"/>
        <v>107.09520537714216</v>
      </c>
      <c r="U100" s="4">
        <f t="shared" si="105"/>
        <v>116.83424007174753</v>
      </c>
      <c r="V100" s="4">
        <f t="shared" si="105"/>
        <v>128.53442934578953</v>
      </c>
      <c r="W100" s="4">
        <f t="shared" si="105"/>
        <v>142.52463568075427</v>
      </c>
      <c r="X100" s="4">
        <f t="shared" si="105"/>
        <v>156.72946691915243</v>
      </c>
    </row>
    <row r="101" spans="2:116" x14ac:dyDescent="0.2">
      <c r="B101" s="4" t="s">
        <v>82</v>
      </c>
      <c r="L101" s="4">
        <v>-50</v>
      </c>
      <c r="M101" s="4">
        <v>1783</v>
      </c>
      <c r="N101" s="4">
        <v>-2328</v>
      </c>
      <c r="O101" s="4">
        <f t="shared" ref="O101:X101" si="106">N101*(1+O40)</f>
        <v>-2499.5125919461416</v>
      </c>
      <c r="P101" s="4">
        <f t="shared" si="106"/>
        <v>-2689.5740847774591</v>
      </c>
      <c r="Q101" s="4">
        <f t="shared" si="106"/>
        <v>-2900.699951135271</v>
      </c>
      <c r="R101" s="4">
        <f t="shared" si="106"/>
        <v>-1557.9230237532104</v>
      </c>
      <c r="S101" s="4">
        <f t="shared" si="106"/>
        <v>-1265.2845601049683</v>
      </c>
      <c r="T101" s="4">
        <f t="shared" si="106"/>
        <v>-1369.8771325164116</v>
      </c>
      <c r="U101" s="4">
        <f t="shared" si="106"/>
        <v>-1494.4511587199352</v>
      </c>
      <c r="V101" s="4">
        <f t="shared" si="106"/>
        <v>-1644.110722620868</v>
      </c>
      <c r="W101" s="4">
        <f t="shared" si="106"/>
        <v>-1823.0623728834942</v>
      </c>
      <c r="X101" s="4">
        <f t="shared" si="106"/>
        <v>-2004.7593350977302</v>
      </c>
    </row>
    <row r="102" spans="2:116" x14ac:dyDescent="0.2">
      <c r="B102" s="4" t="s">
        <v>83</v>
      </c>
      <c r="L102" s="4">
        <v>380</v>
      </c>
      <c r="M102" s="4">
        <v>214</v>
      </c>
      <c r="N102" s="4">
        <v>1023</v>
      </c>
      <c r="O102" s="4">
        <v>400</v>
      </c>
      <c r="P102" s="4">
        <f t="shared" ref="P102:X102" si="107">O102*(1+P40)</f>
        <v>430.41576880928358</v>
      </c>
      <c r="Q102" s="4">
        <f t="shared" si="107"/>
        <v>464.20249459543817</v>
      </c>
      <c r="R102" s="4">
        <f t="shared" si="107"/>
        <v>249.31629130785029</v>
      </c>
      <c r="S102" s="4">
        <f t="shared" si="107"/>
        <v>202.48500674602437</v>
      </c>
      <c r="T102" s="4">
        <f t="shared" si="107"/>
        <v>219.22308164085925</v>
      </c>
      <c r="U102" s="4">
        <f t="shared" si="107"/>
        <v>239.15881256774836</v>
      </c>
      <c r="V102" s="4">
        <f t="shared" si="107"/>
        <v>263.10901219997453</v>
      </c>
      <c r="W102" s="4">
        <f t="shared" si="107"/>
        <v>291.74685956897582</v>
      </c>
      <c r="X102" s="4">
        <f t="shared" si="107"/>
        <v>320.82404250451208</v>
      </c>
    </row>
    <row r="103" spans="2:116" x14ac:dyDescent="0.2">
      <c r="B103" s="4" t="s">
        <v>101</v>
      </c>
      <c r="L103" s="4">
        <v>-545</v>
      </c>
      <c r="M103" s="4">
        <v>456</v>
      </c>
      <c r="N103" s="4">
        <v>-49</v>
      </c>
      <c r="O103" s="4">
        <f t="shared" ref="O103:X103" si="108">N103*(1+O40)</f>
        <v>-52.6100158957736</v>
      </c>
      <c r="P103" s="4">
        <f t="shared" si="108"/>
        <v>-56.610451097120063</v>
      </c>
      <c r="Q103" s="4">
        <f t="shared" si="108"/>
        <v>-61.054251548809404</v>
      </c>
      <c r="R103" s="4">
        <f t="shared" si="108"/>
        <v>-32.791335121953317</v>
      </c>
      <c r="S103" s="4">
        <f t="shared" si="108"/>
        <v>-26.63184855891042</v>
      </c>
      <c r="T103" s="4">
        <f t="shared" si="108"/>
        <v>-28.8333245246152</v>
      </c>
      <c r="U103" s="4">
        <f t="shared" si="108"/>
        <v>-31.455372327008956</v>
      </c>
      <c r="V103" s="4">
        <f t="shared" si="108"/>
        <v>-34.605423285404882</v>
      </c>
      <c r="W103" s="4">
        <f t="shared" si="108"/>
        <v>-38.372017298664623</v>
      </c>
      <c r="X103" s="4">
        <f t="shared" si="108"/>
        <v>-42.196394939771821</v>
      </c>
    </row>
    <row r="104" spans="2:116" x14ac:dyDescent="0.2">
      <c r="B104" s="4" t="s">
        <v>47</v>
      </c>
      <c r="L104" s="4">
        <v>-1473</v>
      </c>
      <c r="M104" s="4">
        <v>-2314</v>
      </c>
      <c r="N104" s="4">
        <v>-1416</v>
      </c>
      <c r="O104" s="4">
        <f t="shared" ref="O104:X104" si="109">N104*(1+O40)</f>
        <v>-1520.3220920084777</v>
      </c>
      <c r="P104" s="4">
        <f t="shared" si="109"/>
        <v>-1635.9265051739185</v>
      </c>
      <c r="Q104" s="4">
        <f t="shared" si="109"/>
        <v>-1764.3432692472268</v>
      </c>
      <c r="R104" s="4">
        <f t="shared" si="109"/>
        <v>-947.60266393236509</v>
      </c>
      <c r="S104" s="4">
        <f t="shared" si="109"/>
        <v>-769.60607264116629</v>
      </c>
      <c r="T104" s="4">
        <f t="shared" si="109"/>
        <v>-833.22423524194119</v>
      </c>
      <c r="U104" s="4">
        <f t="shared" si="109"/>
        <v>-908.99606561315659</v>
      </c>
      <c r="V104" s="4">
        <f t="shared" si="109"/>
        <v>-1000.0261096353735</v>
      </c>
      <c r="W104" s="4">
        <f t="shared" si="109"/>
        <v>-1108.8729896920222</v>
      </c>
      <c r="X104" s="4">
        <f t="shared" si="109"/>
        <v>-1219.3896986676914</v>
      </c>
    </row>
    <row r="105" spans="2:116" s="8" customFormat="1" x14ac:dyDescent="0.2">
      <c r="B105" s="8" t="s">
        <v>21</v>
      </c>
      <c r="L105" s="8">
        <f>SUM(L91:L104,L89)</f>
        <v>20933</v>
      </c>
      <c r="M105" s="8">
        <f t="shared" ref="M105:N105" si="110">SUM(M91:M104,M89)</f>
        <v>14071</v>
      </c>
      <c r="N105" s="8">
        <f t="shared" si="110"/>
        <v>21753</v>
      </c>
      <c r="O105" s="8">
        <f t="shared" ref="O105" si="111">SUM(O91:O104,O89)</f>
        <v>42851.743282649601</v>
      </c>
      <c r="P105" s="8">
        <f t="shared" ref="P105" si="112">SUM(P91:P104,P89)</f>
        <v>42064.686110285948</v>
      </c>
      <c r="Q105" s="8">
        <f t="shared" ref="Q105" si="113">SUM(Q91:Q104,Q89)</f>
        <v>46361.794386387104</v>
      </c>
      <c r="R105" s="8">
        <f t="shared" ref="R105" si="114">SUM(R91:R104,R89)</f>
        <v>24650.112213688837</v>
      </c>
      <c r="S105" s="8">
        <f t="shared" ref="S105:X105" si="115">SUM(S91:S104,S89)</f>
        <v>18606.640230323097</v>
      </c>
      <c r="T105" s="8">
        <f t="shared" si="115"/>
        <v>20698.140331978793</v>
      </c>
      <c r="U105" s="8">
        <f t="shared" si="115"/>
        <v>23224.725169760433</v>
      </c>
      <c r="V105" s="8">
        <f t="shared" si="115"/>
        <v>26298.284081676386</v>
      </c>
      <c r="W105" s="8">
        <f t="shared" si="115"/>
        <v>30013.720312372352</v>
      </c>
      <c r="X105" s="8">
        <f t="shared" si="115"/>
        <v>33830.664263812825</v>
      </c>
    </row>
    <row r="106" spans="2:116" s="8" customFormat="1" x14ac:dyDescent="0.2">
      <c r="B106" s="8" t="s">
        <v>102</v>
      </c>
      <c r="L106" s="8">
        <v>-4388</v>
      </c>
      <c r="M106" s="8">
        <v>-3863</v>
      </c>
      <c r="N106" s="8">
        <v>-3372</v>
      </c>
      <c r="O106" s="8">
        <f>N106*1.08</f>
        <v>-3641.76</v>
      </c>
      <c r="P106" s="8">
        <f t="shared" ref="P106:R106" si="116">O106*1.08</f>
        <v>-3933.1008000000006</v>
      </c>
      <c r="Q106" s="8">
        <f t="shared" si="116"/>
        <v>-4247.748864000001</v>
      </c>
      <c r="R106" s="8">
        <f t="shared" si="116"/>
        <v>-4587.5687731200014</v>
      </c>
      <c r="S106" s="8">
        <f t="shared" ref="S106" si="117">R106*1.08</f>
        <v>-4954.5742749696019</v>
      </c>
      <c r="T106" s="8">
        <f t="shared" ref="T106" si="118">S106*1.08</f>
        <v>-5350.9402169671703</v>
      </c>
      <c r="U106" s="8">
        <f t="shared" ref="U106" si="119">T106*1.08</f>
        <v>-5779.015434324544</v>
      </c>
      <c r="V106" s="8">
        <f t="shared" ref="V106" si="120">U106*1.08</f>
        <v>-6241.3366690705079</v>
      </c>
      <c r="W106" s="8">
        <f t="shared" ref="W106" si="121">V106*1.08</f>
        <v>-6740.6436025961493</v>
      </c>
      <c r="X106" s="8">
        <f t="shared" ref="X106" si="122">W106*1.08</f>
        <v>-7279.8950908038414</v>
      </c>
    </row>
    <row r="107" spans="2:116" x14ac:dyDescent="0.2">
      <c r="B107" s="4" t="s">
        <v>103</v>
      </c>
      <c r="L107" s="4">
        <v>-1204</v>
      </c>
      <c r="M107" s="4">
        <v>-955</v>
      </c>
      <c r="N107" s="4">
        <v>-519</v>
      </c>
      <c r="O107" s="4">
        <f t="shared" ref="O107:X107" si="123">N107*(1+O40)</f>
        <v>-557.23669897768366</v>
      </c>
      <c r="P107" s="4">
        <f t="shared" si="123"/>
        <v>-599.60865549806761</v>
      </c>
      <c r="Q107" s="4">
        <f t="shared" si="123"/>
        <v>-646.67666436392005</v>
      </c>
      <c r="R107" s="4">
        <f t="shared" si="123"/>
        <v>-347.32046792436267</v>
      </c>
      <c r="S107" s="4">
        <f t="shared" si="123"/>
        <v>-282.08019187907161</v>
      </c>
      <c r="T107" s="4">
        <f t="shared" si="123"/>
        <v>-305.39786588316917</v>
      </c>
      <c r="U107" s="4">
        <f t="shared" si="123"/>
        <v>-333.17016811668668</v>
      </c>
      <c r="V107" s="4">
        <f t="shared" si="123"/>
        <v>-366.53499357398226</v>
      </c>
      <c r="W107" s="4">
        <f t="shared" si="123"/>
        <v>-406.43014240830485</v>
      </c>
      <c r="X107" s="4">
        <f t="shared" si="123"/>
        <v>-446.937325994726</v>
      </c>
    </row>
    <row r="108" spans="2:116" x14ac:dyDescent="0.2">
      <c r="B108" s="4" t="s">
        <v>104</v>
      </c>
      <c r="L108" s="4">
        <v>721</v>
      </c>
      <c r="M108" s="4">
        <f>1658+1145</f>
        <v>2803</v>
      </c>
      <c r="N108" s="4">
        <v>377</v>
      </c>
      <c r="O108" s="4">
        <f t="shared" ref="O108:X108" si="124">N108*(1+O40)</f>
        <v>404.77502025931932</v>
      </c>
      <c r="P108" s="4">
        <f t="shared" si="124"/>
        <v>435.55387884927069</v>
      </c>
      <c r="Q108" s="4">
        <f t="shared" si="124"/>
        <v>469.7439353857377</v>
      </c>
      <c r="R108" s="4">
        <f t="shared" si="124"/>
        <v>252.2925171627837</v>
      </c>
      <c r="S108" s="4">
        <f t="shared" si="124"/>
        <v>204.90218176957609</v>
      </c>
      <c r="T108" s="4">
        <f t="shared" si="124"/>
        <v>221.84006828122307</v>
      </c>
      <c r="U108" s="4">
        <f t="shared" si="124"/>
        <v>242.01378300576278</v>
      </c>
      <c r="V108" s="4">
        <f t="shared" si="124"/>
        <v>266.24988935913547</v>
      </c>
      <c r="W108" s="4">
        <f t="shared" si="124"/>
        <v>295.22960248156244</v>
      </c>
      <c r="X108" s="4">
        <f t="shared" si="124"/>
        <v>324.65389576110152</v>
      </c>
    </row>
    <row r="109" spans="2:116" x14ac:dyDescent="0.2">
      <c r="B109" s="4" t="s">
        <v>105</v>
      </c>
      <c r="L109" s="4">
        <v>0</v>
      </c>
      <c r="M109" s="4">
        <f>-10705-1327</f>
        <v>-12032</v>
      </c>
      <c r="N109" s="4">
        <f>-1344-1303-746-700</f>
        <v>-4093</v>
      </c>
      <c r="O109" s="4">
        <f t="shared" ref="O109:X109" si="125">N109*(1+O40)</f>
        <v>-4394.5468379877821</v>
      </c>
      <c r="P109" s="4">
        <f t="shared" si="125"/>
        <v>-4728.7056396022936</v>
      </c>
      <c r="Q109" s="4">
        <f t="shared" si="125"/>
        <v>-5099.8990120260587</v>
      </c>
      <c r="R109" s="4">
        <f t="shared" si="125"/>
        <v>-2739.0802990643861</v>
      </c>
      <c r="S109" s="4">
        <f t="shared" si="125"/>
        <v>-2224.5746153391906</v>
      </c>
      <c r="T109" s="4">
        <f t="shared" si="125"/>
        <v>-2408.4652505969389</v>
      </c>
      <c r="U109" s="4">
        <f t="shared" si="125"/>
        <v>-2627.4865088662782</v>
      </c>
      <c r="V109" s="4">
        <f t="shared" si="125"/>
        <v>-2890.6121940237172</v>
      </c>
      <c r="W109" s="4">
        <f t="shared" si="125"/>
        <v>-3205.2380980292705</v>
      </c>
      <c r="X109" s="4">
        <f t="shared" si="125"/>
        <v>-3524.6907038466534</v>
      </c>
    </row>
    <row r="110" spans="2:116" x14ac:dyDescent="0.2">
      <c r="B110" s="4" t="s">
        <v>47</v>
      </c>
      <c r="L110" s="4">
        <v>-89</v>
      </c>
      <c r="M110" s="4">
        <v>-36</v>
      </c>
      <c r="N110" s="4">
        <v>-127</v>
      </c>
      <c r="O110" s="4">
        <f t="shared" ref="O110:X110" si="126">N110*(1+O40)</f>
        <v>-136.35657181149483</v>
      </c>
      <c r="P110" s="4">
        <f t="shared" si="126"/>
        <v>-146.72504672110711</v>
      </c>
      <c r="Q110" s="4">
        <f t="shared" si="126"/>
        <v>-158.24265197344479</v>
      </c>
      <c r="R110" s="4">
        <f t="shared" si="126"/>
        <v>-84.989786948736153</v>
      </c>
      <c r="S110" s="4">
        <f t="shared" si="126"/>
        <v>-69.025403407788232</v>
      </c>
      <c r="T110" s="4">
        <f t="shared" si="126"/>
        <v>-74.731269686247558</v>
      </c>
      <c r="U110" s="4">
        <f t="shared" si="126"/>
        <v>-81.527189500615037</v>
      </c>
      <c r="V110" s="4">
        <f t="shared" si="126"/>
        <v>-89.691607290743249</v>
      </c>
      <c r="W110" s="4">
        <f t="shared" si="126"/>
        <v>-99.454004018987888</v>
      </c>
      <c r="X110" s="4">
        <f t="shared" si="126"/>
        <v>-109.36616647655144</v>
      </c>
    </row>
    <row r="111" spans="2:116" x14ac:dyDescent="0.2">
      <c r="B111" s="4" t="s">
        <v>106</v>
      </c>
      <c r="L111" s="4">
        <f>SUM(L106:L110)</f>
        <v>-4960</v>
      </c>
      <c r="M111" s="4">
        <f t="shared" ref="M111:N111" si="127">SUM(M106:M110)</f>
        <v>-14083</v>
      </c>
      <c r="N111" s="4">
        <f t="shared" si="127"/>
        <v>-7734</v>
      </c>
      <c r="O111" s="4">
        <f t="shared" ref="O111" si="128">SUM(O106:O110)</f>
        <v>-8325.1250885176414</v>
      </c>
      <c r="P111" s="4">
        <f t="shared" ref="P111" si="129">SUM(P106:P110)</f>
        <v>-8972.5862629721978</v>
      </c>
      <c r="Q111" s="4">
        <f t="shared" ref="Q111" si="130">SUM(Q106:Q110)</f>
        <v>-9682.8232569776865</v>
      </c>
      <c r="R111" s="4">
        <f t="shared" ref="R111" si="131">SUM(R106:R110)</f>
        <v>-7506.6668098947021</v>
      </c>
      <c r="S111" s="4">
        <f t="shared" ref="S111:X111" si="132">SUM(S106:S110)</f>
        <v>-7325.3523038260755</v>
      </c>
      <c r="T111" s="4">
        <f t="shared" si="132"/>
        <v>-7917.6945348523022</v>
      </c>
      <c r="U111" s="4">
        <f t="shared" si="132"/>
        <v>-8579.1855178023616</v>
      </c>
      <c r="V111" s="4">
        <f t="shared" si="132"/>
        <v>-9321.9255745998144</v>
      </c>
      <c r="W111" s="4">
        <f t="shared" si="132"/>
        <v>-10156.536244571151</v>
      </c>
      <c r="X111" s="4">
        <f t="shared" si="132"/>
        <v>-11036.235391360669</v>
      </c>
    </row>
    <row r="112" spans="2:116" s="8" customFormat="1" x14ac:dyDescent="0.2">
      <c r="B112" s="8" t="s">
        <v>22</v>
      </c>
      <c r="L112" s="8">
        <f>L105+L106</f>
        <v>16545</v>
      </c>
      <c r="M112" s="8">
        <f t="shared" ref="M112:S112" si="133">M105+M106</f>
        <v>10208</v>
      </c>
      <c r="N112" s="8">
        <f t="shared" si="133"/>
        <v>18381</v>
      </c>
      <c r="O112" s="8">
        <f t="shared" si="133"/>
        <v>39209.983282649599</v>
      </c>
      <c r="P112" s="8">
        <f t="shared" si="133"/>
        <v>38131.585310285947</v>
      </c>
      <c r="Q112" s="8">
        <f t="shared" si="133"/>
        <v>42114.045522387103</v>
      </c>
      <c r="R112" s="8">
        <f t="shared" si="133"/>
        <v>20062.543440568836</v>
      </c>
      <c r="S112" s="8">
        <f t="shared" si="133"/>
        <v>13652.065955353495</v>
      </c>
      <c r="T112" s="8">
        <f t="shared" ref="T112:X112" si="134">T105+T106</f>
        <v>15347.200115011623</v>
      </c>
      <c r="U112" s="8">
        <f t="shared" si="134"/>
        <v>17445.709735435888</v>
      </c>
      <c r="V112" s="8">
        <f t="shared" si="134"/>
        <v>20056.947412605878</v>
      </c>
      <c r="W112" s="8">
        <f t="shared" si="134"/>
        <v>23273.076709776204</v>
      </c>
      <c r="X112" s="8">
        <f t="shared" si="134"/>
        <v>26550.769173008983</v>
      </c>
      <c r="Y112" s="8">
        <f t="shared" ref="Y112:BD112" si="135">X112*(1+$AA$40)</f>
        <v>26285.261481278892</v>
      </c>
      <c r="Z112" s="8">
        <f t="shared" si="135"/>
        <v>26022.408866466103</v>
      </c>
      <c r="AA112" s="8">
        <f t="shared" si="135"/>
        <v>25762.184777801442</v>
      </c>
      <c r="AB112" s="8">
        <f t="shared" si="135"/>
        <v>25504.562930023429</v>
      </c>
      <c r="AC112" s="8">
        <f t="shared" si="135"/>
        <v>25249.517300723193</v>
      </c>
      <c r="AD112" s="8">
        <f t="shared" si="135"/>
        <v>24997.022127715962</v>
      </c>
      <c r="AE112" s="8">
        <f t="shared" si="135"/>
        <v>24747.051906438803</v>
      </c>
      <c r="AF112" s="8">
        <f t="shared" si="135"/>
        <v>24499.581387374415</v>
      </c>
      <c r="AG112" s="8">
        <f t="shared" si="135"/>
        <v>24254.58557350067</v>
      </c>
      <c r="AH112" s="8">
        <f t="shared" si="135"/>
        <v>24012.039717765663</v>
      </c>
      <c r="AI112" s="8">
        <f t="shared" si="135"/>
        <v>23771.919320588007</v>
      </c>
      <c r="AJ112" s="8">
        <f t="shared" si="135"/>
        <v>23534.200127382126</v>
      </c>
      <c r="AK112" s="8">
        <f t="shared" si="135"/>
        <v>23298.858126108305</v>
      </c>
      <c r="AL112" s="8">
        <f t="shared" si="135"/>
        <v>23065.869544847221</v>
      </c>
      <c r="AM112" s="8">
        <f t="shared" si="135"/>
        <v>22835.210849398747</v>
      </c>
      <c r="AN112" s="8">
        <f t="shared" si="135"/>
        <v>22606.858740904758</v>
      </c>
      <c r="AO112" s="8">
        <f t="shared" si="135"/>
        <v>22380.790153495709</v>
      </c>
      <c r="AP112" s="8">
        <f t="shared" si="135"/>
        <v>22156.982251960751</v>
      </c>
      <c r="AQ112" s="8">
        <f t="shared" si="135"/>
        <v>21935.412429441145</v>
      </c>
      <c r="AR112" s="8">
        <f t="shared" si="135"/>
        <v>21716.058305146733</v>
      </c>
      <c r="AS112" s="8">
        <f t="shared" si="135"/>
        <v>21498.897722095266</v>
      </c>
      <c r="AT112" s="8">
        <f t="shared" si="135"/>
        <v>21283.908744874312</v>
      </c>
      <c r="AU112" s="8">
        <f t="shared" si="135"/>
        <v>21071.069657425567</v>
      </c>
      <c r="AV112" s="8">
        <f t="shared" si="135"/>
        <v>20860.35896085131</v>
      </c>
      <c r="AW112" s="8">
        <f t="shared" si="135"/>
        <v>20651.755371242798</v>
      </c>
      <c r="AX112" s="8">
        <f t="shared" si="135"/>
        <v>20445.237817530371</v>
      </c>
      <c r="AY112" s="8">
        <f t="shared" si="135"/>
        <v>20240.785439355066</v>
      </c>
      <c r="AZ112" s="8">
        <f t="shared" si="135"/>
        <v>20038.377584961516</v>
      </c>
      <c r="BA112" s="8">
        <f t="shared" si="135"/>
        <v>19837.9938091119</v>
      </c>
      <c r="BB112" s="8">
        <f t="shared" si="135"/>
        <v>19639.613871020782</v>
      </c>
      <c r="BC112" s="8">
        <f t="shared" si="135"/>
        <v>19443.217732310575</v>
      </c>
      <c r="BD112" s="8">
        <f t="shared" si="135"/>
        <v>19248.785554987469</v>
      </c>
      <c r="BE112" s="8">
        <f t="shared" ref="BE112:CJ112" si="136">BD112*(1+$AA$40)</f>
        <v>19056.297699437593</v>
      </c>
      <c r="BF112" s="8">
        <f t="shared" si="136"/>
        <v>18865.734722443216</v>
      </c>
      <c r="BG112" s="8">
        <f t="shared" si="136"/>
        <v>18677.077375218785</v>
      </c>
      <c r="BH112" s="8">
        <f t="shared" si="136"/>
        <v>18490.306601466596</v>
      </c>
      <c r="BI112" s="8">
        <f t="shared" si="136"/>
        <v>18305.403535451929</v>
      </c>
      <c r="BJ112" s="8">
        <f t="shared" si="136"/>
        <v>18122.349500097411</v>
      </c>
      <c r="BK112" s="8">
        <f t="shared" si="136"/>
        <v>17941.126005096437</v>
      </c>
      <c r="BL112" s="8">
        <f t="shared" si="136"/>
        <v>17761.714745045472</v>
      </c>
      <c r="BM112" s="8">
        <f t="shared" si="136"/>
        <v>17584.097597595017</v>
      </c>
      <c r="BN112" s="8">
        <f t="shared" si="136"/>
        <v>17408.256621619068</v>
      </c>
      <c r="BO112" s="8">
        <f t="shared" si="136"/>
        <v>17234.174055402877</v>
      </c>
      <c r="BP112" s="8">
        <f t="shared" si="136"/>
        <v>17061.832314848849</v>
      </c>
      <c r="BQ112" s="8">
        <f t="shared" si="136"/>
        <v>16891.213991700359</v>
      </c>
      <c r="BR112" s="8">
        <f t="shared" si="136"/>
        <v>16722.301851783355</v>
      </c>
      <c r="BS112" s="8">
        <f t="shared" si="136"/>
        <v>16555.078833265521</v>
      </c>
      <c r="BT112" s="8">
        <f t="shared" si="136"/>
        <v>16389.528044932867</v>
      </c>
      <c r="BU112" s="8">
        <f t="shared" si="136"/>
        <v>16225.632764483538</v>
      </c>
      <c r="BV112" s="8">
        <f t="shared" si="136"/>
        <v>16063.376436838702</v>
      </c>
      <c r="BW112" s="8">
        <f t="shared" si="136"/>
        <v>15902.742672470315</v>
      </c>
      <c r="BX112" s="8">
        <f t="shared" si="136"/>
        <v>15743.71524574561</v>
      </c>
      <c r="BY112" s="8">
        <f t="shared" si="136"/>
        <v>15586.278093288154</v>
      </c>
      <c r="BZ112" s="8">
        <f t="shared" si="136"/>
        <v>15430.415312355273</v>
      </c>
      <c r="CA112" s="8">
        <f t="shared" si="136"/>
        <v>15276.111159231721</v>
      </c>
      <c r="CB112" s="8">
        <f t="shared" si="136"/>
        <v>15123.350047639404</v>
      </c>
      <c r="CC112" s="8">
        <f t="shared" si="136"/>
        <v>14972.11654716301</v>
      </c>
      <c r="CD112" s="8">
        <f t="shared" si="136"/>
        <v>14822.39538169138</v>
      </c>
      <c r="CE112" s="8">
        <f t="shared" si="136"/>
        <v>14674.171427874466</v>
      </c>
      <c r="CF112" s="8">
        <f t="shared" si="136"/>
        <v>14527.42971359572</v>
      </c>
      <c r="CG112" s="8">
        <f t="shared" si="136"/>
        <v>14382.155416459764</v>
      </c>
      <c r="CH112" s="8">
        <f t="shared" si="136"/>
        <v>14238.333862295165</v>
      </c>
      <c r="CI112" s="8">
        <f t="shared" si="136"/>
        <v>14095.950523672213</v>
      </c>
      <c r="CJ112" s="8">
        <f t="shared" si="136"/>
        <v>13954.99101843549</v>
      </c>
      <c r="CK112" s="8">
        <f t="shared" ref="CK112:DL112" si="137">CJ112*(1+$AA$40)</f>
        <v>13815.441108251136</v>
      </c>
      <c r="CL112" s="8">
        <f t="shared" si="137"/>
        <v>13677.286697168625</v>
      </c>
      <c r="CM112" s="8">
        <f t="shared" si="137"/>
        <v>13540.513830196938</v>
      </c>
      <c r="CN112" s="8">
        <f t="shared" si="137"/>
        <v>13405.10869189497</v>
      </c>
      <c r="CO112" s="8">
        <f t="shared" si="137"/>
        <v>13271.05760497602</v>
      </c>
      <c r="CP112" s="8">
        <f t="shared" si="137"/>
        <v>13138.34702892626</v>
      </c>
      <c r="CQ112" s="8">
        <f t="shared" si="137"/>
        <v>13006.963558636999</v>
      </c>
      <c r="CR112" s="8">
        <f t="shared" si="137"/>
        <v>12876.893923050629</v>
      </c>
      <c r="CS112" s="8">
        <f t="shared" si="137"/>
        <v>12748.124983820124</v>
      </c>
      <c r="CT112" s="8">
        <f t="shared" si="137"/>
        <v>12620.643733981922</v>
      </c>
      <c r="CU112" s="8">
        <f t="shared" si="137"/>
        <v>12494.437296642103</v>
      </c>
      <c r="CV112" s="8">
        <f t="shared" si="137"/>
        <v>12369.492923675682</v>
      </c>
      <c r="CW112" s="8">
        <f t="shared" si="137"/>
        <v>12245.797994438924</v>
      </c>
      <c r="CX112" s="8">
        <f t="shared" si="137"/>
        <v>12123.340014494535</v>
      </c>
      <c r="CY112" s="8">
        <f t="shared" si="137"/>
        <v>12002.10661434959</v>
      </c>
      <c r="CZ112" s="8">
        <f t="shared" si="137"/>
        <v>11882.085548206094</v>
      </c>
      <c r="DA112" s="8">
        <f t="shared" si="137"/>
        <v>11763.264692724033</v>
      </c>
      <c r="DB112" s="8">
        <f t="shared" si="137"/>
        <v>11645.632045796792</v>
      </c>
      <c r="DC112" s="8">
        <f t="shared" si="137"/>
        <v>11529.175725338824</v>
      </c>
      <c r="DD112" s="8">
        <f t="shared" si="137"/>
        <v>11413.883968085436</v>
      </c>
      <c r="DE112" s="8">
        <f t="shared" si="137"/>
        <v>11299.745128404582</v>
      </c>
      <c r="DF112" s="8">
        <f t="shared" si="137"/>
        <v>11186.747677120537</v>
      </c>
      <c r="DG112" s="8">
        <f t="shared" si="137"/>
        <v>11074.880200349331</v>
      </c>
      <c r="DH112" s="8">
        <f t="shared" si="137"/>
        <v>10964.131398345839</v>
      </c>
      <c r="DI112" s="8">
        <f t="shared" si="137"/>
        <v>10854.49008436238</v>
      </c>
      <c r="DJ112" s="8">
        <f t="shared" si="137"/>
        <v>10745.945183518756</v>
      </c>
      <c r="DK112" s="8">
        <f t="shared" si="137"/>
        <v>10638.485731683568</v>
      </c>
      <c r="DL112" s="8">
        <f t="shared" si="137"/>
        <v>10532.100874366732</v>
      </c>
    </row>
  </sheetData>
  <hyperlinks>
    <hyperlink ref="A1" location="Main!A1" display="Main" xr:uid="{A44F0417-A7A6-4A13-AC33-A19210D87CA8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2025-05-05T01:00:41Z</dcterms:created>
  <dcterms:modified xsi:type="dcterms:W3CDTF">2025-06-17T03:22:35Z</dcterms:modified>
</cp:coreProperties>
</file>