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66DF596-493B-43C2-BAC0-A9E8AD84BB9C}" xr6:coauthVersionLast="47" xr6:coauthVersionMax="47" xr10:uidLastSave="{00000000-0000-0000-0000-000000000000}"/>
  <bookViews>
    <workbookView xWindow="2295" yWindow="285" windowWidth="21945" windowHeight="14610" activeTab="1" xr2:uid="{5D9A434D-E4E6-481F-B630-FF215E7C1E0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H6" i="2"/>
  <c r="I6" i="2"/>
  <c r="J6" i="2" s="1"/>
  <c r="F6" i="2"/>
  <c r="F4" i="2"/>
  <c r="G4" i="2" s="1"/>
  <c r="H4" i="2" s="1"/>
  <c r="I4" i="2" s="1"/>
  <c r="J4" i="2" s="1"/>
  <c r="F5" i="2"/>
  <c r="G5" i="2" s="1"/>
  <c r="H5" i="2" s="1"/>
  <c r="I5" i="2" s="1"/>
  <c r="J5" i="2" s="1"/>
  <c r="F3" i="2"/>
  <c r="G3" i="2" s="1"/>
  <c r="D35" i="2"/>
  <c r="E35" i="2"/>
  <c r="C35" i="2"/>
  <c r="E41" i="2"/>
  <c r="E39" i="2" s="1"/>
  <c r="F18" i="2" s="1"/>
  <c r="D16" i="2"/>
  <c r="E16" i="2"/>
  <c r="C16" i="2"/>
  <c r="D11" i="2"/>
  <c r="E11" i="2"/>
  <c r="C11" i="2"/>
  <c r="D7" i="2"/>
  <c r="E7" i="2"/>
  <c r="C7" i="2"/>
  <c r="D2" i="2"/>
  <c r="E2" i="2" s="1"/>
  <c r="F2" i="2" s="1"/>
  <c r="G2" i="2" s="1"/>
  <c r="H2" i="2" s="1"/>
  <c r="I2" i="2" s="1"/>
  <c r="J2" i="2" s="1"/>
  <c r="P5" i="1"/>
  <c r="P4" i="1"/>
  <c r="P7" i="1" s="1"/>
  <c r="Q7" i="1" s="1"/>
  <c r="C12" i="2" l="1"/>
  <c r="D25" i="2"/>
  <c r="E25" i="2"/>
  <c r="G7" i="2"/>
  <c r="H3" i="2"/>
  <c r="F7" i="2"/>
  <c r="C17" i="2"/>
  <c r="E12" i="2"/>
  <c r="E28" i="2" s="1"/>
  <c r="F28" i="2" s="1"/>
  <c r="G28" i="2" s="1"/>
  <c r="H28" i="2" s="1"/>
  <c r="I28" i="2" s="1"/>
  <c r="J28" i="2" s="1"/>
  <c r="D12" i="2"/>
  <c r="D30" i="2"/>
  <c r="C30" i="2"/>
  <c r="E30" i="2"/>
  <c r="D32" i="2"/>
  <c r="C32" i="2"/>
  <c r="E32" i="2"/>
  <c r="F32" i="2" s="1"/>
  <c r="G32" i="2" s="1"/>
  <c r="H32" i="2" s="1"/>
  <c r="I32" i="2" s="1"/>
  <c r="J32" i="2" s="1"/>
  <c r="C28" i="2"/>
  <c r="E17" i="2" l="1"/>
  <c r="I3" i="2"/>
  <c r="H7" i="2"/>
  <c r="C19" i="2"/>
  <c r="C29" i="2"/>
  <c r="D17" i="2"/>
  <c r="D28" i="2"/>
  <c r="E29" i="2"/>
  <c r="E19" i="2"/>
  <c r="F25" i="2"/>
  <c r="F33" i="2"/>
  <c r="F11" i="2"/>
  <c r="F12" i="2" s="1"/>
  <c r="F16" i="2" l="1"/>
  <c r="F17" i="2" s="1"/>
  <c r="F34" i="2"/>
  <c r="J3" i="2"/>
  <c r="J7" i="2" s="1"/>
  <c r="I7" i="2"/>
  <c r="C21" i="2"/>
  <c r="C23" i="2" s="1"/>
  <c r="C26" i="2"/>
  <c r="D19" i="2"/>
  <c r="D29" i="2"/>
  <c r="G33" i="2"/>
  <c r="G11" i="2"/>
  <c r="G12" i="2" s="1"/>
  <c r="G25" i="2"/>
  <c r="G16" i="2" s="1"/>
  <c r="E21" i="2"/>
  <c r="E23" i="2" s="1"/>
  <c r="E26" i="2"/>
  <c r="F29" i="2" l="1"/>
  <c r="F19" i="2"/>
  <c r="G34" i="2"/>
  <c r="F35" i="2"/>
  <c r="F30" i="2" s="1"/>
  <c r="D21" i="2"/>
  <c r="D23" i="2" s="1"/>
  <c r="D26" i="2"/>
  <c r="G17" i="2"/>
  <c r="H11" i="2"/>
  <c r="H33" i="2"/>
  <c r="H25" i="2"/>
  <c r="H16" i="2" s="1"/>
  <c r="H12" i="2"/>
  <c r="F20" i="2"/>
  <c r="F21" i="2" s="1"/>
  <c r="H34" i="2" l="1"/>
  <c r="H35" i="2" s="1"/>
  <c r="H30" i="2" s="1"/>
  <c r="G35" i="2"/>
  <c r="G30" i="2" s="1"/>
  <c r="F39" i="2"/>
  <c r="F23" i="2"/>
  <c r="P8" i="1" s="1"/>
  <c r="H17" i="2"/>
  <c r="H29" i="2" s="1"/>
  <c r="I11" i="2"/>
  <c r="I12" i="2" s="1"/>
  <c r="I33" i="2"/>
  <c r="I25" i="2"/>
  <c r="I16" i="2" s="1"/>
  <c r="G29" i="2"/>
  <c r="I34" i="2" l="1"/>
  <c r="I35" i="2" s="1"/>
  <c r="I30" i="2" s="1"/>
  <c r="J11" i="2"/>
  <c r="J12" i="2" s="1"/>
  <c r="J33" i="2"/>
  <c r="J25" i="2"/>
  <c r="J16" i="2" s="1"/>
  <c r="I17" i="2"/>
  <c r="I29" i="2" s="1"/>
  <c r="G18" i="2"/>
  <c r="G19" i="2" s="1"/>
  <c r="G20" i="2" s="1"/>
  <c r="G21" i="2" s="1"/>
  <c r="G23" i="2" l="1"/>
  <c r="J34" i="2"/>
  <c r="J35" i="2" s="1"/>
  <c r="G39" i="2"/>
  <c r="H18" i="2" s="1"/>
  <c r="H19" i="2" s="1"/>
  <c r="H20" i="2" s="1"/>
  <c r="H21" i="2" s="1"/>
  <c r="H23" i="2" s="1"/>
  <c r="J17" i="2"/>
  <c r="J29" i="2" s="1"/>
  <c r="J30" i="2" l="1"/>
  <c r="K35" i="2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H39" i="2"/>
  <c r="I18" i="2" s="1"/>
  <c r="I19" i="2" s="1"/>
  <c r="I20" i="2" s="1"/>
  <c r="I21" i="2" s="1"/>
  <c r="I23" i="2" s="1"/>
  <c r="I39" i="2" l="1"/>
  <c r="J18" i="2" s="1"/>
  <c r="J19" i="2" s="1"/>
  <c r="J20" i="2" s="1"/>
  <c r="J21" i="2" s="1"/>
  <c r="J39" i="2"/>
  <c r="J23" i="2" l="1"/>
  <c r="K21" i="2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M17" i="2" s="1"/>
  <c r="M18" i="2" s="1"/>
  <c r="M19" i="2" s="1"/>
</calcChain>
</file>

<file path=xl/sharedStrings.xml><?xml version="1.0" encoding="utf-8"?>
<sst xmlns="http://schemas.openxmlformats.org/spreadsheetml/2006/main" count="45" uniqueCount="42">
  <si>
    <t>Price</t>
  </si>
  <si>
    <t>Shares</t>
  </si>
  <si>
    <t>MC</t>
  </si>
  <si>
    <t>Cash</t>
  </si>
  <si>
    <t>Debt</t>
  </si>
  <si>
    <t>EV</t>
  </si>
  <si>
    <t>Cloud Services</t>
  </si>
  <si>
    <t>Cloud License</t>
  </si>
  <si>
    <t>Hardware</t>
  </si>
  <si>
    <t>Services</t>
  </si>
  <si>
    <t>Revenue</t>
  </si>
  <si>
    <t>COGS</t>
  </si>
  <si>
    <t>Services COGS</t>
  </si>
  <si>
    <t>Hardware COGS</t>
  </si>
  <si>
    <t>Cloud Services COGS</t>
  </si>
  <si>
    <t>S&amp;M</t>
  </si>
  <si>
    <t>R&amp;D</t>
  </si>
  <si>
    <t>Gross Profit</t>
  </si>
  <si>
    <t>G&amp;A</t>
  </si>
  <si>
    <t>OPEX</t>
  </si>
  <si>
    <t>Operating Income</t>
  </si>
  <si>
    <t>Interest</t>
  </si>
  <si>
    <t>Pretax Income</t>
  </si>
  <si>
    <t>Tax</t>
  </si>
  <si>
    <t>Net Income</t>
  </si>
  <si>
    <t>EPS</t>
  </si>
  <si>
    <t xml:space="preserve">Revenue Growth </t>
  </si>
  <si>
    <t>Tax Rate</t>
  </si>
  <si>
    <t>Gross Margin</t>
  </si>
  <si>
    <t>Operating Margin</t>
  </si>
  <si>
    <t>CFFO</t>
  </si>
  <si>
    <t>CX</t>
  </si>
  <si>
    <t>FCF</t>
  </si>
  <si>
    <t>Net Cash</t>
  </si>
  <si>
    <t>PE</t>
  </si>
  <si>
    <t>NPV</t>
  </si>
  <si>
    <t>Maturity</t>
  </si>
  <si>
    <t>Discount</t>
  </si>
  <si>
    <t>ROIC</t>
  </si>
  <si>
    <t>FCF Margin</t>
  </si>
  <si>
    <t>Main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</si>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</sst>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1" fillId="0" borderId="0" xfId="0" applyFont="1"/>
    <xf numFmtId="3" fontId="4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47625</xdr:rowOff>
    </xdr:from>
    <xdr:to>
      <xdr:col>5</xdr:col>
      <xdr:colOff>28575</xdr:colOff>
      <xdr:row>43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2CF7884-FA0E-BDCE-0EEF-9EF66C5D9BF3}"/>
            </a:ext>
          </a:extLst>
        </xdr:cNvPr>
        <xdr:cNvCxnSpPr/>
      </xdr:nvCxnSpPr>
      <xdr:spPr>
        <a:xfrm>
          <a:off x="3057525" y="47625"/>
          <a:ext cx="47625" cy="7362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C872-FB29-47C6-A311-C860325B0B19}">
  <dimension ref="A1:Q8"/>
  <sheetViews>
    <sheetView zoomScale="115" zoomScaleNormal="115" workbookViewId="0">
      <selection activeCell="E18" sqref="E18"/>
    </sheetView>
  </sheetViews>
  <sheetFormatPr defaultRowHeight="12.75" x14ac:dyDescent="0.2"/>
  <cols>
    <col min="1" max="16384" width="9.140625" style="8"/>
  </cols>
  <sheetData>
    <row r="1" spans="1:17" x14ac:dyDescent="0.2">
      <c r="A1" s="7"/>
    </row>
    <row r="2" spans="1:17" x14ac:dyDescent="0.2">
      <c r="O2" s="8" t="s">
        <v>0</v>
      </c>
      <c r="P2" s="1">
        <v>211</v>
      </c>
    </row>
    <row r="3" spans="1:17" x14ac:dyDescent="0.2">
      <c r="O3" s="8" t="s">
        <v>1</v>
      </c>
      <c r="P3" s="1">
        <v>2804.2339999999999</v>
      </c>
      <c r="Q3" s="4"/>
    </row>
    <row r="4" spans="1:17" x14ac:dyDescent="0.2">
      <c r="O4" s="8" t="s">
        <v>2</v>
      </c>
      <c r="P4" s="1">
        <f>P3*P2</f>
        <v>591693.37399999995</v>
      </c>
    </row>
    <row r="5" spans="1:17" x14ac:dyDescent="0.2">
      <c r="O5" s="8" t="s">
        <v>3</v>
      </c>
      <c r="P5" s="1">
        <f>17406+417</f>
        <v>17823</v>
      </c>
    </row>
    <row r="6" spans="1:17" x14ac:dyDescent="0.2">
      <c r="O6" s="8" t="s">
        <v>4</v>
      </c>
      <c r="P6" s="1">
        <v>114494</v>
      </c>
    </row>
    <row r="7" spans="1:17" x14ac:dyDescent="0.2">
      <c r="O7" s="8" t="s">
        <v>5</v>
      </c>
      <c r="P7" s="1">
        <f>P4+P6-P5</f>
        <v>688364.37399999995</v>
      </c>
      <c r="Q7" s="8">
        <f>P7/P3</f>
        <v>245.47322869632134</v>
      </c>
    </row>
    <row r="8" spans="1:17" x14ac:dyDescent="0.2">
      <c r="O8" s="8" t="s">
        <v>34</v>
      </c>
      <c r="P8" s="8">
        <f>Q7/Model!F23</f>
        <v>41.113077675420939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A9F4-2AF1-472B-8827-371B927576BB}">
  <dimension ref="A1:DD43"/>
  <sheetViews>
    <sheetView tabSelected="1" zoomScale="130" zoomScaleNormal="13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defaultRowHeight="12.75" x14ac:dyDescent="0.2"/>
  <cols>
    <col min="1" max="1" width="5" style="1" customWidth="1"/>
    <col min="2" max="2" width="18.7109375" style="1" customWidth="1"/>
    <col min="3" max="16384" width="9.140625" style="1"/>
  </cols>
  <sheetData>
    <row r="1" spans="1:13" x14ac:dyDescent="0.2">
      <c r="A1" s="9" t="s">
        <v>40</v>
      </c>
    </row>
    <row r="2" spans="1:13" x14ac:dyDescent="0.2">
      <c r="C2" s="2">
        <v>2022</v>
      </c>
      <c r="D2" s="2">
        <f>C2+1</f>
        <v>2023</v>
      </c>
      <c r="E2" s="2">
        <f t="shared" ref="E2:J2" si="0">D2+1</f>
        <v>2024</v>
      </c>
      <c r="F2" s="2">
        <f t="shared" si="0"/>
        <v>2025</v>
      </c>
      <c r="G2" s="2">
        <f t="shared" si="0"/>
        <v>2026</v>
      </c>
      <c r="H2" s="2">
        <f t="shared" si="0"/>
        <v>2027</v>
      </c>
      <c r="I2" s="2">
        <f t="shared" si="0"/>
        <v>2028</v>
      </c>
      <c r="J2" s="2">
        <f t="shared" si="0"/>
        <v>2029</v>
      </c>
    </row>
    <row r="3" spans="1:13" x14ac:dyDescent="0.2">
      <c r="B3" s="1" t="s">
        <v>6</v>
      </c>
      <c r="C3" s="1">
        <v>30174</v>
      </c>
      <c r="D3" s="1">
        <v>35307</v>
      </c>
      <c r="E3" s="1">
        <v>39383</v>
      </c>
      <c r="F3" s="1">
        <f>E3*1.2</f>
        <v>47259.6</v>
      </c>
      <c r="G3" s="1">
        <f t="shared" ref="G3:J3" si="1">F3*1.2</f>
        <v>56711.519999999997</v>
      </c>
      <c r="H3" s="1">
        <f t="shared" si="1"/>
        <v>68053.823999999993</v>
      </c>
      <c r="I3" s="1">
        <f t="shared" si="1"/>
        <v>81664.588799999983</v>
      </c>
      <c r="J3" s="1">
        <f t="shared" si="1"/>
        <v>97997.50655999998</v>
      </c>
    </row>
    <row r="4" spans="1:13" x14ac:dyDescent="0.2">
      <c r="B4" s="1" t="s">
        <v>7</v>
      </c>
      <c r="C4" s="1">
        <v>5878</v>
      </c>
      <c r="D4" s="1">
        <v>5779</v>
      </c>
      <c r="E4" s="1">
        <v>5081</v>
      </c>
      <c r="F4" s="1">
        <f>E4*1.03</f>
        <v>5233.43</v>
      </c>
      <c r="G4" s="1">
        <f t="shared" ref="G4:J4" si="2">F4*1.03</f>
        <v>5390.4329000000007</v>
      </c>
      <c r="H4" s="1">
        <f t="shared" si="2"/>
        <v>5552.1458870000006</v>
      </c>
      <c r="I4" s="1">
        <f t="shared" si="2"/>
        <v>5718.7102636100008</v>
      </c>
      <c r="J4" s="1">
        <f t="shared" si="2"/>
        <v>5890.2715715183012</v>
      </c>
    </row>
    <row r="5" spans="1:13" x14ac:dyDescent="0.2">
      <c r="B5" s="1" t="s">
        <v>8</v>
      </c>
      <c r="C5" s="1">
        <v>3183</v>
      </c>
      <c r="D5" s="1">
        <v>3274</v>
      </c>
      <c r="E5" s="1">
        <v>3066</v>
      </c>
      <c r="F5" s="1">
        <f>E5*1.03</f>
        <v>3157.98</v>
      </c>
      <c r="G5" s="1">
        <f t="shared" ref="G5:J5" si="3">F5*1.03</f>
        <v>3252.7194</v>
      </c>
      <c r="H5" s="1">
        <f t="shared" si="3"/>
        <v>3350.3009820000002</v>
      </c>
      <c r="I5" s="1">
        <f t="shared" si="3"/>
        <v>3450.8100114600002</v>
      </c>
      <c r="J5" s="1">
        <f t="shared" si="3"/>
        <v>3554.3343118038001</v>
      </c>
    </row>
    <row r="6" spans="1:13" x14ac:dyDescent="0.2">
      <c r="B6" s="1" t="s">
        <v>9</v>
      </c>
      <c r="C6" s="1">
        <v>3205</v>
      </c>
      <c r="D6" s="1">
        <v>5594</v>
      </c>
      <c r="E6" s="1">
        <v>5431</v>
      </c>
      <c r="F6" s="1">
        <f>E6*1.15</f>
        <v>6245.65</v>
      </c>
      <c r="G6" s="1">
        <f t="shared" ref="G6:J6" si="4">F6*1.15</f>
        <v>7182.4974999999986</v>
      </c>
      <c r="H6" s="1">
        <f t="shared" si="4"/>
        <v>8259.8721249999981</v>
      </c>
      <c r="I6" s="1">
        <f t="shared" si="4"/>
        <v>9498.8529437499965</v>
      </c>
      <c r="J6" s="1">
        <f t="shared" si="4"/>
        <v>10923.680885312495</v>
      </c>
    </row>
    <row r="7" spans="1:13" s="3" customFormat="1" x14ac:dyDescent="0.2">
      <c r="B7" s="3" t="s">
        <v>10</v>
      </c>
      <c r="C7" s="3">
        <f>SUM(C3:C6)</f>
        <v>42440</v>
      </c>
      <c r="D7" s="3">
        <f t="shared" ref="D7:E7" si="5">SUM(D3:D6)</f>
        <v>49954</v>
      </c>
      <c r="E7" s="3">
        <f t="shared" si="5"/>
        <v>52961</v>
      </c>
      <c r="F7" s="3">
        <f>SUM(F3:F6)</f>
        <v>61896.66</v>
      </c>
      <c r="G7" s="3">
        <f>SUM(G3:G6)</f>
        <v>72537.169800000003</v>
      </c>
      <c r="H7" s="3">
        <f t="shared" ref="H7:J7" si="6">SUM(H3:H6)</f>
        <v>85216.142993999994</v>
      </c>
      <c r="I7" s="3">
        <f t="shared" si="6"/>
        <v>100332.96201881998</v>
      </c>
      <c r="J7" s="3">
        <f t="shared" si="6"/>
        <v>118365.79332863458</v>
      </c>
    </row>
    <row r="8" spans="1:13" x14ac:dyDescent="0.2">
      <c r="B8" s="1" t="s">
        <v>14</v>
      </c>
      <c r="C8" s="1">
        <v>5213</v>
      </c>
      <c r="D8" s="1">
        <v>7763</v>
      </c>
      <c r="E8" s="1">
        <v>9427</v>
      </c>
    </row>
    <row r="9" spans="1:13" x14ac:dyDescent="0.2">
      <c r="B9" s="1" t="s">
        <v>13</v>
      </c>
      <c r="C9" s="1">
        <v>972</v>
      </c>
      <c r="D9" s="1">
        <v>1040</v>
      </c>
      <c r="E9" s="1">
        <v>891</v>
      </c>
    </row>
    <row r="10" spans="1:13" x14ac:dyDescent="0.2">
      <c r="B10" s="1" t="s">
        <v>12</v>
      </c>
      <c r="C10" s="1">
        <v>2692</v>
      </c>
      <c r="D10" s="1">
        <v>4761</v>
      </c>
      <c r="E10" s="1">
        <v>4825</v>
      </c>
    </row>
    <row r="11" spans="1:13" x14ac:dyDescent="0.2">
      <c r="B11" s="1" t="s">
        <v>11</v>
      </c>
      <c r="C11" s="1">
        <f>SUM(C8:C10)</f>
        <v>8877</v>
      </c>
      <c r="D11" s="1">
        <f t="shared" ref="D11:E11" si="7">SUM(D8:D10)</f>
        <v>13564</v>
      </c>
      <c r="E11" s="1">
        <f t="shared" si="7"/>
        <v>15143</v>
      </c>
      <c r="F11" s="1">
        <f>F7*(1-F28)</f>
        <v>17255.962755635283</v>
      </c>
      <c r="G11" s="1">
        <f t="shared" ref="G11:J11" si="8">G7*(1-G28)</f>
        <v>19699.247133980145</v>
      </c>
      <c r="H11" s="1">
        <f t="shared" si="8"/>
        <v>22521.797106416219</v>
      </c>
      <c r="I11" s="1">
        <f t="shared" si="8"/>
        <v>25778.865860908121</v>
      </c>
      <c r="J11" s="1">
        <f t="shared" si="8"/>
        <v>29532.561400975443</v>
      </c>
    </row>
    <row r="12" spans="1:13" x14ac:dyDescent="0.2">
      <c r="B12" s="1" t="s">
        <v>17</v>
      </c>
      <c r="C12" s="1">
        <f>C7-C11</f>
        <v>33563</v>
      </c>
      <c r="D12" s="1">
        <f t="shared" ref="D12:E12" si="9">D7-D11</f>
        <v>36390</v>
      </c>
      <c r="E12" s="1">
        <f t="shared" si="9"/>
        <v>37818</v>
      </c>
      <c r="F12" s="1">
        <f t="shared" ref="F12" si="10">F7-F11</f>
        <v>44640.697244364725</v>
      </c>
      <c r="G12" s="1">
        <f t="shared" ref="G12" si="11">G7-G11</f>
        <v>52837.922666019862</v>
      </c>
      <c r="H12" s="1">
        <f t="shared" ref="H12" si="12">H7-H11</f>
        <v>62694.345887583775</v>
      </c>
      <c r="I12" s="1">
        <f t="shared" ref="I12" si="13">I7-I11</f>
        <v>74554.096157911859</v>
      </c>
      <c r="J12" s="1">
        <f t="shared" ref="J12" si="14">J7-J11</f>
        <v>88833.23192765913</v>
      </c>
    </row>
    <row r="13" spans="1:13" x14ac:dyDescent="0.2">
      <c r="B13" s="1" t="s">
        <v>15</v>
      </c>
      <c r="C13" s="1">
        <v>8047</v>
      </c>
      <c r="D13" s="1">
        <v>8833</v>
      </c>
      <c r="E13" s="1">
        <v>8274</v>
      </c>
    </row>
    <row r="14" spans="1:13" x14ac:dyDescent="0.2">
      <c r="B14" s="1" t="s">
        <v>16</v>
      </c>
      <c r="C14" s="1">
        <v>7219</v>
      </c>
      <c r="D14" s="1">
        <v>8623</v>
      </c>
      <c r="E14" s="1">
        <v>8915</v>
      </c>
      <c r="L14" s="1" t="s">
        <v>38</v>
      </c>
      <c r="M14" s="4">
        <v>0.02</v>
      </c>
    </row>
    <row r="15" spans="1:13" x14ac:dyDescent="0.2">
      <c r="B15" s="1" t="s">
        <v>18</v>
      </c>
      <c r="C15" s="1">
        <v>1317</v>
      </c>
      <c r="D15" s="1">
        <v>1579</v>
      </c>
      <c r="E15" s="1">
        <v>1548</v>
      </c>
      <c r="L15" s="1" t="s">
        <v>36</v>
      </c>
      <c r="M15" s="4">
        <v>0.02</v>
      </c>
    </row>
    <row r="16" spans="1:13" x14ac:dyDescent="0.2">
      <c r="B16" s="1" t="s">
        <v>19</v>
      </c>
      <c r="C16" s="1">
        <f>SUM(C13:C15)</f>
        <v>16583</v>
      </c>
      <c r="D16" s="1">
        <f t="shared" ref="D16:E16" si="15">SUM(D13:D15)</f>
        <v>19035</v>
      </c>
      <c r="E16" s="1">
        <f t="shared" si="15"/>
        <v>18737</v>
      </c>
      <c r="F16" s="1">
        <f>E16*(1+F25)</f>
        <v>21898.334971394044</v>
      </c>
      <c r="G16" s="1">
        <f t="shared" ref="G16:J16" si="16">F16*(1+G25)</f>
        <v>25662.826429685996</v>
      </c>
      <c r="H16" s="1">
        <f t="shared" si="16"/>
        <v>30148.503073555596</v>
      </c>
      <c r="I16" s="1">
        <f t="shared" si="16"/>
        <v>35496.661870935779</v>
      </c>
      <c r="J16" s="1">
        <f t="shared" si="16"/>
        <v>41876.472679870581</v>
      </c>
      <c r="L16" s="1" t="s">
        <v>37</v>
      </c>
      <c r="M16" s="4">
        <v>0.08</v>
      </c>
    </row>
    <row r="17" spans="2:108" x14ac:dyDescent="0.2">
      <c r="B17" s="1" t="s">
        <v>20</v>
      </c>
      <c r="C17" s="1">
        <f>C12-C16</f>
        <v>16980</v>
      </c>
      <c r="D17" s="1">
        <f t="shared" ref="D17:J17" si="17">D12-D16</f>
        <v>17355</v>
      </c>
      <c r="E17" s="1">
        <f t="shared" si="17"/>
        <v>19081</v>
      </c>
      <c r="F17" s="1">
        <f t="shared" si="17"/>
        <v>22742.36227297068</v>
      </c>
      <c r="G17" s="1">
        <f t="shared" si="17"/>
        <v>27175.096236333866</v>
      </c>
      <c r="H17" s="1">
        <f t="shared" si="17"/>
        <v>32545.842814028179</v>
      </c>
      <c r="I17" s="1">
        <f t="shared" si="17"/>
        <v>39057.43428697608</v>
      </c>
      <c r="J17" s="1">
        <f t="shared" si="17"/>
        <v>46956.759247788548</v>
      </c>
      <c r="L17" s="1" t="s">
        <v>35</v>
      </c>
      <c r="M17" s="1">
        <f>NPV(M16,F21:XFD21)</f>
        <v>540197.54394606082</v>
      </c>
    </row>
    <row r="18" spans="2:108" x14ac:dyDescent="0.2">
      <c r="B18" s="1" t="s">
        <v>21</v>
      </c>
      <c r="C18" s="1">
        <v>-2755</v>
      </c>
      <c r="D18" s="1">
        <v>-3505</v>
      </c>
      <c r="E18" s="1">
        <v>-3514</v>
      </c>
      <c r="F18" s="1">
        <f>E39*$M$14</f>
        <v>-1933.42</v>
      </c>
      <c r="G18" s="1">
        <f t="shared" ref="G18:J18" si="18">F39*$M$14</f>
        <v>-1596.3151351778752</v>
      </c>
      <c r="H18" s="1">
        <f t="shared" si="18"/>
        <v>-1181.9388813391481</v>
      </c>
      <c r="I18" s="1">
        <f t="shared" si="18"/>
        <v>-673.84363762958583</v>
      </c>
      <c r="J18" s="1">
        <f t="shared" si="18"/>
        <v>-52.029469110172649</v>
      </c>
      <c r="L18" s="1" t="s">
        <v>41</v>
      </c>
      <c r="M18" s="1">
        <f>M17/Main!P3</f>
        <v>192.63640050939429</v>
      </c>
    </row>
    <row r="19" spans="2:108" x14ac:dyDescent="0.2">
      <c r="B19" s="1" t="s">
        <v>22</v>
      </c>
      <c r="C19" s="1">
        <f>C17+C18</f>
        <v>14225</v>
      </c>
      <c r="D19" s="1">
        <f t="shared" ref="D19:J19" si="19">D17+D18</f>
        <v>13850</v>
      </c>
      <c r="E19" s="1">
        <f t="shared" si="19"/>
        <v>15567</v>
      </c>
      <c r="F19" s="1">
        <f t="shared" si="19"/>
        <v>20808.942272970678</v>
      </c>
      <c r="G19" s="1">
        <f t="shared" si="19"/>
        <v>25578.78110115599</v>
      </c>
      <c r="H19" s="1">
        <f t="shared" si="19"/>
        <v>31363.903932689031</v>
      </c>
      <c r="I19" s="1">
        <f t="shared" si="19"/>
        <v>38383.590649346494</v>
      </c>
      <c r="J19" s="1">
        <f t="shared" si="19"/>
        <v>46904.729778678375</v>
      </c>
      <c r="M19" s="4">
        <f>M18/Main!P2-1</f>
        <v>-8.703127720666215E-2</v>
      </c>
    </row>
    <row r="20" spans="2:108" x14ac:dyDescent="0.2">
      <c r="B20" s="1" t="s">
        <v>23</v>
      </c>
      <c r="C20" s="1">
        <v>932</v>
      </c>
      <c r="D20" s="1">
        <v>623</v>
      </c>
      <c r="E20" s="1">
        <v>1274</v>
      </c>
      <c r="F20" s="1">
        <f>F19*F26</f>
        <v>3953.6990318644289</v>
      </c>
      <c r="G20" s="1">
        <f t="shared" ref="G20:J20" si="20">G19*G26</f>
        <v>4859.9684092196385</v>
      </c>
      <c r="H20" s="1">
        <f t="shared" si="20"/>
        <v>5959.141747210916</v>
      </c>
      <c r="I20" s="1">
        <f t="shared" si="20"/>
        <v>7292.8822233758337</v>
      </c>
      <c r="J20" s="1">
        <f t="shared" si="20"/>
        <v>8911.8986579488919</v>
      </c>
    </row>
    <row r="21" spans="2:108" s="3" customFormat="1" x14ac:dyDescent="0.2">
      <c r="B21" s="3" t="s">
        <v>24</v>
      </c>
      <c r="C21" s="3">
        <f>C19-C20</f>
        <v>13293</v>
      </c>
      <c r="D21" s="3">
        <f t="shared" ref="D21:J21" si="21">D19-D20</f>
        <v>13227</v>
      </c>
      <c r="E21" s="3">
        <f t="shared" si="21"/>
        <v>14293</v>
      </c>
      <c r="F21" s="3">
        <f t="shared" si="21"/>
        <v>16855.243241106251</v>
      </c>
      <c r="G21" s="3">
        <f t="shared" si="21"/>
        <v>20718.812691936349</v>
      </c>
      <c r="H21" s="3">
        <f t="shared" si="21"/>
        <v>25404.762185478114</v>
      </c>
      <c r="I21" s="3">
        <f t="shared" si="21"/>
        <v>31090.708425970661</v>
      </c>
      <c r="J21" s="3">
        <f t="shared" si="21"/>
        <v>37992.831120729483</v>
      </c>
      <c r="K21" s="3">
        <f>J21*(1+$M$15)</f>
        <v>38752.687743144073</v>
      </c>
      <c r="L21" s="3">
        <f t="shared" ref="L21:BW21" si="22">K21*(1+$M$15)</f>
        <v>39527.741498006959</v>
      </c>
      <c r="M21" s="3">
        <f t="shared" si="22"/>
        <v>40318.296327967102</v>
      </c>
      <c r="N21" s="3">
        <f t="shared" si="22"/>
        <v>41124.662254526447</v>
      </c>
      <c r="O21" s="3">
        <f t="shared" si="22"/>
        <v>41947.15549961698</v>
      </c>
      <c r="P21" s="3">
        <f t="shared" si="22"/>
        <v>42786.098609609318</v>
      </c>
      <c r="Q21" s="3">
        <f t="shared" si="22"/>
        <v>43641.820581801505</v>
      </c>
      <c r="R21" s="3">
        <f t="shared" si="22"/>
        <v>44514.656993437537</v>
      </c>
      <c r="S21" s="3">
        <f t="shared" si="22"/>
        <v>45404.950133306287</v>
      </c>
      <c r="T21" s="3">
        <f t="shared" si="22"/>
        <v>46313.049135972411</v>
      </c>
      <c r="U21" s="3">
        <f t="shared" si="22"/>
        <v>47239.310118691857</v>
      </c>
      <c r="V21" s="3">
        <f t="shared" si="22"/>
        <v>48184.096321065692</v>
      </c>
      <c r="W21" s="3">
        <f t="shared" si="22"/>
        <v>49147.778247487004</v>
      </c>
      <c r="X21" s="3">
        <f t="shared" si="22"/>
        <v>50130.733812436745</v>
      </c>
      <c r="Y21" s="3">
        <f t="shared" si="22"/>
        <v>51133.348488685479</v>
      </c>
      <c r="Z21" s="3">
        <f t="shared" si="22"/>
        <v>52156.015458459187</v>
      </c>
      <c r="AA21" s="3">
        <f t="shared" si="22"/>
        <v>53199.135767628373</v>
      </c>
      <c r="AB21" s="3">
        <f t="shared" si="22"/>
        <v>54263.118482980943</v>
      </c>
      <c r="AC21" s="3">
        <f t="shared" si="22"/>
        <v>55348.380852640563</v>
      </c>
      <c r="AD21" s="3">
        <f t="shared" si="22"/>
        <v>56455.348469693374</v>
      </c>
      <c r="AE21" s="3">
        <f t="shared" si="22"/>
        <v>57584.455439087244</v>
      </c>
      <c r="AF21" s="3">
        <f t="shared" si="22"/>
        <v>58736.144547868993</v>
      </c>
      <c r="AG21" s="3">
        <f t="shared" si="22"/>
        <v>59910.867438826375</v>
      </c>
      <c r="AH21" s="3">
        <f t="shared" si="22"/>
        <v>61109.084787602907</v>
      </c>
      <c r="AI21" s="3">
        <f t="shared" si="22"/>
        <v>62331.266483354964</v>
      </c>
      <c r="AJ21" s="3">
        <f t="shared" si="22"/>
        <v>63577.891813022063</v>
      </c>
      <c r="AK21" s="3">
        <f t="shared" si="22"/>
        <v>64849.449649282506</v>
      </c>
      <c r="AL21" s="3">
        <f t="shared" si="22"/>
        <v>66146.438642268156</v>
      </c>
      <c r="AM21" s="3">
        <f t="shared" si="22"/>
        <v>67469.36741511352</v>
      </c>
      <c r="AN21" s="3">
        <f t="shared" si="22"/>
        <v>68818.754763415796</v>
      </c>
      <c r="AO21" s="3">
        <f t="shared" si="22"/>
        <v>70195.129858684115</v>
      </c>
      <c r="AP21" s="3">
        <f t="shared" si="22"/>
        <v>71599.0324558578</v>
      </c>
      <c r="AQ21" s="3">
        <f t="shared" si="22"/>
        <v>73031.013104974962</v>
      </c>
      <c r="AR21" s="3">
        <f t="shared" si="22"/>
        <v>74491.633367074464</v>
      </c>
      <c r="AS21" s="3">
        <f t="shared" si="22"/>
        <v>75981.466034415949</v>
      </c>
      <c r="AT21" s="3">
        <f t="shared" si="22"/>
        <v>77501.095355104277</v>
      </c>
      <c r="AU21" s="3">
        <f t="shared" si="22"/>
        <v>79051.11726220636</v>
      </c>
      <c r="AV21" s="3">
        <f t="shared" si="22"/>
        <v>80632.139607450488</v>
      </c>
      <c r="AW21" s="3">
        <f t="shared" si="22"/>
        <v>82244.782399599499</v>
      </c>
      <c r="AX21" s="3">
        <f t="shared" si="22"/>
        <v>83889.678047591486</v>
      </c>
      <c r="AY21" s="3">
        <f t="shared" si="22"/>
        <v>85567.471608543317</v>
      </c>
      <c r="AZ21" s="3">
        <f t="shared" si="22"/>
        <v>87278.821040714189</v>
      </c>
      <c r="BA21" s="3">
        <f t="shared" si="22"/>
        <v>89024.397461528468</v>
      </c>
      <c r="BB21" s="3">
        <f t="shared" si="22"/>
        <v>90804.885410759045</v>
      </c>
      <c r="BC21" s="3">
        <f t="shared" si="22"/>
        <v>92620.983118974225</v>
      </c>
      <c r="BD21" s="3">
        <f t="shared" si="22"/>
        <v>94473.40278135371</v>
      </c>
      <c r="BE21" s="3">
        <f t="shared" si="22"/>
        <v>96362.870836980786</v>
      </c>
      <c r="BF21" s="3">
        <f t="shared" si="22"/>
        <v>98290.12825372041</v>
      </c>
      <c r="BG21" s="3">
        <f t="shared" si="22"/>
        <v>100255.93081879482</v>
      </c>
      <c r="BH21" s="3">
        <f t="shared" si="22"/>
        <v>102261.04943517072</v>
      </c>
      <c r="BI21" s="3">
        <f t="shared" si="22"/>
        <v>104306.27042387413</v>
      </c>
      <c r="BJ21" s="3">
        <f t="shared" si="22"/>
        <v>106392.39583235161</v>
      </c>
      <c r="BK21" s="3">
        <f t="shared" si="22"/>
        <v>108520.24374899865</v>
      </c>
      <c r="BL21" s="3">
        <f t="shared" si="22"/>
        <v>110690.64862397862</v>
      </c>
      <c r="BM21" s="3">
        <f t="shared" si="22"/>
        <v>112904.46159645819</v>
      </c>
      <c r="BN21" s="3">
        <f t="shared" si="22"/>
        <v>115162.55082838735</v>
      </c>
      <c r="BO21" s="3">
        <f t="shared" si="22"/>
        <v>117465.8018449551</v>
      </c>
      <c r="BP21" s="3">
        <f t="shared" si="22"/>
        <v>119815.11788185421</v>
      </c>
      <c r="BQ21" s="3">
        <f t="shared" si="22"/>
        <v>122211.4202394913</v>
      </c>
      <c r="BR21" s="3">
        <f t="shared" si="22"/>
        <v>124655.64864428113</v>
      </c>
      <c r="BS21" s="3">
        <f t="shared" si="22"/>
        <v>127148.76161716675</v>
      </c>
      <c r="BT21" s="3">
        <f t="shared" si="22"/>
        <v>129691.73684951008</v>
      </c>
      <c r="BU21" s="3">
        <f t="shared" si="22"/>
        <v>132285.57158650027</v>
      </c>
      <c r="BV21" s="3">
        <f t="shared" si="22"/>
        <v>134931.28301823029</v>
      </c>
      <c r="BW21" s="3">
        <f t="shared" si="22"/>
        <v>137629.90867859489</v>
      </c>
      <c r="BX21" s="3">
        <f t="shared" ref="BX21:DD21" si="23">BW21*(1+$M$15)</f>
        <v>140382.50685216679</v>
      </c>
      <c r="BY21" s="3">
        <f t="shared" si="23"/>
        <v>143190.15698921011</v>
      </c>
      <c r="BZ21" s="3">
        <f t="shared" si="23"/>
        <v>146053.96012899431</v>
      </c>
      <c r="CA21" s="3">
        <f t="shared" si="23"/>
        <v>148975.0393315742</v>
      </c>
      <c r="CB21" s="3">
        <f t="shared" si="23"/>
        <v>151954.54011820568</v>
      </c>
      <c r="CC21" s="3">
        <f t="shared" si="23"/>
        <v>154993.63092056979</v>
      </c>
      <c r="CD21" s="3">
        <f t="shared" si="23"/>
        <v>158093.5035389812</v>
      </c>
      <c r="CE21" s="3">
        <f t="shared" si="23"/>
        <v>161255.37360976083</v>
      </c>
      <c r="CF21" s="3">
        <f t="shared" si="23"/>
        <v>164480.48108195607</v>
      </c>
      <c r="CG21" s="3">
        <f t="shared" si="23"/>
        <v>167770.0907035952</v>
      </c>
      <c r="CH21" s="3">
        <f t="shared" si="23"/>
        <v>171125.49251766709</v>
      </c>
      <c r="CI21" s="3">
        <f t="shared" si="23"/>
        <v>174548.00236802045</v>
      </c>
      <c r="CJ21" s="3">
        <f t="shared" si="23"/>
        <v>178038.96241538087</v>
      </c>
      <c r="CK21" s="3">
        <f t="shared" si="23"/>
        <v>181599.7416636885</v>
      </c>
      <c r="CL21" s="3">
        <f t="shared" si="23"/>
        <v>185231.73649696229</v>
      </c>
      <c r="CM21" s="3">
        <f t="shared" si="23"/>
        <v>188936.37122690154</v>
      </c>
      <c r="CN21" s="3">
        <f t="shared" si="23"/>
        <v>192715.09865143956</v>
      </c>
      <c r="CO21" s="3">
        <f t="shared" si="23"/>
        <v>196569.40062446837</v>
      </c>
      <c r="CP21" s="3">
        <f t="shared" si="23"/>
        <v>200500.78863695773</v>
      </c>
      <c r="CQ21" s="3">
        <f t="shared" si="23"/>
        <v>204510.8044096969</v>
      </c>
      <c r="CR21" s="3">
        <f t="shared" si="23"/>
        <v>208601.02049789083</v>
      </c>
      <c r="CS21" s="3">
        <f t="shared" si="23"/>
        <v>212773.04090784866</v>
      </c>
      <c r="CT21" s="3">
        <f t="shared" si="23"/>
        <v>217028.50172600563</v>
      </c>
      <c r="CU21" s="3">
        <f t="shared" si="23"/>
        <v>221369.07176052575</v>
      </c>
      <c r="CV21" s="3">
        <f t="shared" si="23"/>
        <v>225796.45319573628</v>
      </c>
      <c r="CW21" s="3">
        <f t="shared" si="23"/>
        <v>230312.382259651</v>
      </c>
      <c r="CX21" s="3">
        <f t="shared" si="23"/>
        <v>234918.62990484401</v>
      </c>
      <c r="CY21" s="3">
        <f t="shared" si="23"/>
        <v>239617.00250294089</v>
      </c>
      <c r="CZ21" s="3">
        <f t="shared" si="23"/>
        <v>244409.3425529997</v>
      </c>
      <c r="DA21" s="3">
        <f t="shared" si="23"/>
        <v>249297.52940405969</v>
      </c>
      <c r="DB21" s="3">
        <f t="shared" si="23"/>
        <v>254283.4799921409</v>
      </c>
      <c r="DC21" s="3">
        <f t="shared" si="23"/>
        <v>259369.14959198373</v>
      </c>
      <c r="DD21" s="3">
        <f t="shared" si="23"/>
        <v>264556.53258382343</v>
      </c>
    </row>
    <row r="22" spans="2:108" x14ac:dyDescent="0.2">
      <c r="B22" s="1" t="s">
        <v>1</v>
      </c>
      <c r="C22" s="1">
        <v>2786</v>
      </c>
      <c r="D22" s="1">
        <v>2766</v>
      </c>
      <c r="E22" s="1">
        <v>2823</v>
      </c>
      <c r="F22" s="1">
        <v>2823</v>
      </c>
      <c r="G22" s="1">
        <v>2823</v>
      </c>
      <c r="H22" s="1">
        <v>2823</v>
      </c>
      <c r="I22" s="1">
        <v>2823</v>
      </c>
      <c r="J22" s="1">
        <v>2823</v>
      </c>
    </row>
    <row r="23" spans="2:108" x14ac:dyDescent="0.2">
      <c r="B23" s="1" t="s">
        <v>25</v>
      </c>
      <c r="C23" s="5">
        <f>C21/C22</f>
        <v>4.7713567839195976</v>
      </c>
      <c r="D23" s="5">
        <f t="shared" ref="D23:J23" si="24">D21/D22</f>
        <v>4.7819956616052064</v>
      </c>
      <c r="E23" s="5">
        <f t="shared" si="24"/>
        <v>5.0630534891958909</v>
      </c>
      <c r="F23" s="5">
        <f t="shared" si="24"/>
        <v>5.9706848179618319</v>
      </c>
      <c r="G23" s="5">
        <f t="shared" si="24"/>
        <v>7.339288945071325</v>
      </c>
      <c r="H23" s="5">
        <f t="shared" si="24"/>
        <v>8.9992072920574255</v>
      </c>
      <c r="I23" s="5">
        <f t="shared" si="24"/>
        <v>11.013357572076041</v>
      </c>
      <c r="J23" s="5">
        <f t="shared" si="24"/>
        <v>13.458317789843955</v>
      </c>
    </row>
    <row r="25" spans="2:108" s="3" customFormat="1" x14ac:dyDescent="0.2">
      <c r="B25" s="3" t="s">
        <v>26</v>
      </c>
      <c r="D25" s="6">
        <f>D7/C7-1</f>
        <v>0.17704995287464653</v>
      </c>
      <c r="E25" s="6">
        <f>E7/D7-1</f>
        <v>6.0195379749369504E-2</v>
      </c>
      <c r="F25" s="6">
        <f t="shared" ref="F25:J25" si="25">F7/E7-1</f>
        <v>0.16872151205604125</v>
      </c>
      <c r="G25" s="6">
        <f t="shared" si="25"/>
        <v>0.17190765705290079</v>
      </c>
      <c r="H25" s="6">
        <f t="shared" si="25"/>
        <v>0.17479277491744649</v>
      </c>
      <c r="I25" s="6">
        <f t="shared" si="25"/>
        <v>0.17739384221935905</v>
      </c>
      <c r="J25" s="6">
        <f t="shared" si="25"/>
        <v>0.17972988085841712</v>
      </c>
    </row>
    <row r="26" spans="2:108" x14ac:dyDescent="0.2">
      <c r="B26" s="1" t="s">
        <v>27</v>
      </c>
      <c r="C26" s="4">
        <f>C20/C19</f>
        <v>6.5518453427065027E-2</v>
      </c>
      <c r="D26" s="4">
        <f t="shared" ref="D26:E26" si="26">D20/D19</f>
        <v>4.4981949458483751E-2</v>
      </c>
      <c r="E26" s="4">
        <f t="shared" si="26"/>
        <v>8.1839789297873708E-2</v>
      </c>
      <c r="F26" s="4">
        <v>0.19</v>
      </c>
      <c r="G26" s="4">
        <v>0.19</v>
      </c>
      <c r="H26" s="4">
        <v>0.19</v>
      </c>
      <c r="I26" s="4">
        <v>0.19</v>
      </c>
      <c r="J26" s="4">
        <v>0.19</v>
      </c>
    </row>
    <row r="28" spans="2:108" s="3" customFormat="1" x14ac:dyDescent="0.2">
      <c r="B28" s="3" t="s">
        <v>28</v>
      </c>
      <c r="C28" s="6">
        <f>C12/C7</f>
        <v>0.79083411875589071</v>
      </c>
      <c r="D28" s="6">
        <f t="shared" ref="D28:E28" si="27">D12/D7</f>
        <v>0.72847019257717105</v>
      </c>
      <c r="E28" s="6">
        <f t="shared" si="27"/>
        <v>0.71407261947470779</v>
      </c>
      <c r="F28" s="6">
        <f>E28*1.01</f>
        <v>0.72121334566945483</v>
      </c>
      <c r="G28" s="6">
        <f t="shared" ref="G28:J28" si="28">F28*1.01</f>
        <v>0.72842547912614941</v>
      </c>
      <c r="H28" s="6">
        <f t="shared" si="28"/>
        <v>0.7357097339174109</v>
      </c>
      <c r="I28" s="6">
        <f t="shared" si="28"/>
        <v>0.74306683125658501</v>
      </c>
      <c r="J28" s="6">
        <f t="shared" si="28"/>
        <v>0.75049749956915091</v>
      </c>
    </row>
    <row r="29" spans="2:108" x14ac:dyDescent="0.2">
      <c r="B29" s="1" t="s">
        <v>29</v>
      </c>
      <c r="C29" s="4">
        <f>C17/C7</f>
        <v>0.40009425070688032</v>
      </c>
      <c r="D29" s="4">
        <f t="shared" ref="D29:J29" si="29">D17/D7</f>
        <v>0.34741962605597149</v>
      </c>
      <c r="E29" s="4">
        <f t="shared" si="29"/>
        <v>0.36028398255319954</v>
      </c>
      <c r="F29" s="4">
        <f t="shared" si="29"/>
        <v>0.36742470874794664</v>
      </c>
      <c r="G29" s="4">
        <f t="shared" si="29"/>
        <v>0.37463684220464122</v>
      </c>
      <c r="H29" s="4">
        <f t="shared" si="29"/>
        <v>0.3819210969959026</v>
      </c>
      <c r="I29" s="4">
        <f t="shared" si="29"/>
        <v>0.38927819433507677</v>
      </c>
      <c r="J29" s="4">
        <f t="shared" si="29"/>
        <v>0.3967088626476426</v>
      </c>
    </row>
    <row r="30" spans="2:108" x14ac:dyDescent="0.2">
      <c r="B30" s="1" t="s">
        <v>39</v>
      </c>
      <c r="C30" s="4">
        <f t="shared" ref="C30:J30" si="30">C35/C7</f>
        <v>0.11847313854853911</v>
      </c>
      <c r="D30" s="4">
        <f t="shared" si="30"/>
        <v>0.16955599151219122</v>
      </c>
      <c r="E30" s="4">
        <f t="shared" si="30"/>
        <v>0.22293763335284456</v>
      </c>
      <c r="F30" s="4">
        <f t="shared" si="30"/>
        <v>0.22998923736334287</v>
      </c>
      <c r="G30" s="4">
        <f t="shared" si="30"/>
        <v>0.23718187345405109</v>
      </c>
      <c r="H30" s="4">
        <f t="shared" si="30"/>
        <v>0.2445183622665735</v>
      </c>
      <c r="I30" s="4">
        <f t="shared" si="30"/>
        <v>0.25200158085534641</v>
      </c>
      <c r="J30" s="4">
        <f t="shared" si="30"/>
        <v>0.25963446381589472</v>
      </c>
    </row>
    <row r="31" spans="2:108" x14ac:dyDescent="0.2">
      <c r="C31" s="4"/>
      <c r="D31" s="4"/>
      <c r="E31" s="4"/>
      <c r="F31" s="4"/>
      <c r="G31" s="4"/>
      <c r="H31" s="4"/>
      <c r="I31" s="4"/>
      <c r="J31" s="4"/>
    </row>
    <row r="32" spans="2:108" x14ac:dyDescent="0.2">
      <c r="C32" s="4">
        <f>C33/C7</f>
        <v>0.22476437323279924</v>
      </c>
      <c r="D32" s="4">
        <f>D33/D7</f>
        <v>0.34361612683668974</v>
      </c>
      <c r="E32" s="4">
        <f>E33/E7</f>
        <v>0.35258020052491457</v>
      </c>
      <c r="F32" s="4">
        <f>E32*1.02</f>
        <v>0.35963180453541288</v>
      </c>
      <c r="G32" s="4">
        <f t="shared" ref="G32:J32" si="31">F32*1.02</f>
        <v>0.36682444062612113</v>
      </c>
      <c r="H32" s="4">
        <f t="shared" si="31"/>
        <v>0.37416092943864354</v>
      </c>
      <c r="I32" s="4">
        <f t="shared" si="31"/>
        <v>0.38164414802741642</v>
      </c>
      <c r="J32" s="4">
        <f t="shared" si="31"/>
        <v>0.38927703098796473</v>
      </c>
    </row>
    <row r="33" spans="2:99" x14ac:dyDescent="0.2">
      <c r="B33" s="1" t="s">
        <v>30</v>
      </c>
      <c r="C33" s="1">
        <v>9539</v>
      </c>
      <c r="D33" s="1">
        <v>17165</v>
      </c>
      <c r="E33" s="1">
        <v>18673</v>
      </c>
      <c r="F33" s="1">
        <f>F32*F7</f>
        <v>22260.007530514911</v>
      </c>
      <c r="G33" s="1">
        <f t="shared" ref="G33:J33" si="32">G32*G7</f>
        <v>26608.406736486966</v>
      </c>
      <c r="H33" s="1">
        <f t="shared" si="32"/>
        <v>31884.551265811391</v>
      </c>
      <c r="I33" s="1">
        <f t="shared" si="32"/>
        <v>38291.487808739679</v>
      </c>
      <c r="J33" s="1">
        <f t="shared" si="32"/>
        <v>46077.084597505913</v>
      </c>
    </row>
    <row r="34" spans="2:99" x14ac:dyDescent="0.2">
      <c r="B34" s="1" t="s">
        <v>31</v>
      </c>
      <c r="C34" s="1">
        <v>4511</v>
      </c>
      <c r="D34" s="1">
        <v>8695</v>
      </c>
      <c r="E34" s="1">
        <v>6866</v>
      </c>
      <c r="F34" s="1">
        <f>E34*(1+F25)</f>
        <v>8024.4419017767796</v>
      </c>
      <c r="G34" s="1">
        <f t="shared" ref="G34:J34" si="33">F34*(1+G25)</f>
        <v>9403.9049082683487</v>
      </c>
      <c r="H34" s="1">
        <f t="shared" si="33"/>
        <v>11047.639542244369</v>
      </c>
      <c r="I34" s="1">
        <f t="shared" si="33"/>
        <v>13007.422768097618</v>
      </c>
      <c r="J34" s="1">
        <f t="shared" si="33"/>
        <v>15345.245312482866</v>
      </c>
    </row>
    <row r="35" spans="2:99" s="3" customFormat="1" x14ac:dyDescent="0.2">
      <c r="B35" s="3" t="s">
        <v>32</v>
      </c>
      <c r="C35" s="3">
        <f>C33-C34</f>
        <v>5028</v>
      </c>
      <c r="D35" s="3">
        <f t="shared" ref="D35:E35" si="34">D33-D34</f>
        <v>8470</v>
      </c>
      <c r="E35" s="3">
        <f t="shared" si="34"/>
        <v>11807</v>
      </c>
      <c r="F35" s="3">
        <f t="shared" ref="F35" si="35">F33-F34</f>
        <v>14235.565628738132</v>
      </c>
      <c r="G35" s="3">
        <f t="shared" ref="G35" si="36">G33-G34</f>
        <v>17204.501828218617</v>
      </c>
      <c r="H35" s="3">
        <f t="shared" ref="H35" si="37">H33-H34</f>
        <v>20836.91172356702</v>
      </c>
      <c r="I35" s="3">
        <f t="shared" ref="I35" si="38">I33-I34</f>
        <v>25284.065040642061</v>
      </c>
      <c r="J35" s="3">
        <f t="shared" ref="J35" si="39">J33-J34</f>
        <v>30731.839285023045</v>
      </c>
      <c r="K35" s="3">
        <f>J35*(1+$M$15)</f>
        <v>31346.476070723507</v>
      </c>
      <c r="L35" s="3">
        <f t="shared" ref="L35:BW35" si="40">K35*(1+$M$15)</f>
        <v>31973.405592137977</v>
      </c>
      <c r="M35" s="3">
        <f t="shared" si="40"/>
        <v>32612.873703980738</v>
      </c>
      <c r="N35" s="3">
        <f t="shared" si="40"/>
        <v>33265.13117806035</v>
      </c>
      <c r="O35" s="3">
        <f t="shared" si="40"/>
        <v>33930.433801621555</v>
      </c>
      <c r="P35" s="3">
        <f t="shared" si="40"/>
        <v>34609.042477653988</v>
      </c>
      <c r="Q35" s="3">
        <f t="shared" si="40"/>
        <v>35301.223327207066</v>
      </c>
      <c r="R35" s="3">
        <f t="shared" si="40"/>
        <v>36007.247793751209</v>
      </c>
      <c r="S35" s="3">
        <f t="shared" si="40"/>
        <v>36727.392749626233</v>
      </c>
      <c r="T35" s="3">
        <f t="shared" si="40"/>
        <v>37461.940604618758</v>
      </c>
      <c r="U35" s="3">
        <f t="shared" si="40"/>
        <v>38211.179416711137</v>
      </c>
      <c r="V35" s="3">
        <f t="shared" si="40"/>
        <v>38975.403005045358</v>
      </c>
      <c r="W35" s="3">
        <f t="shared" si="40"/>
        <v>39754.911065146269</v>
      </c>
      <c r="X35" s="3">
        <f t="shared" si="40"/>
        <v>40550.009286449196</v>
      </c>
      <c r="Y35" s="3">
        <f t="shared" si="40"/>
        <v>41361.009472178179</v>
      </c>
      <c r="Z35" s="3">
        <f t="shared" si="40"/>
        <v>42188.229661621743</v>
      </c>
      <c r="AA35" s="3">
        <f t="shared" si="40"/>
        <v>43031.99425485418</v>
      </c>
      <c r="AB35" s="3">
        <f t="shared" si="40"/>
        <v>43892.634139951268</v>
      </c>
      <c r="AC35" s="3">
        <f t="shared" si="40"/>
        <v>44770.486822750296</v>
      </c>
      <c r="AD35" s="3">
        <f t="shared" si="40"/>
        <v>45665.896559205299</v>
      </c>
      <c r="AE35" s="3">
        <f t="shared" si="40"/>
        <v>46579.214490389408</v>
      </c>
      <c r="AF35" s="3">
        <f t="shared" si="40"/>
        <v>47510.798780197198</v>
      </c>
      <c r="AG35" s="3">
        <f t="shared" si="40"/>
        <v>48461.014755801145</v>
      </c>
      <c r="AH35" s="3">
        <f t="shared" si="40"/>
        <v>49430.235050917167</v>
      </c>
      <c r="AI35" s="3">
        <f t="shared" si="40"/>
        <v>50418.839751935513</v>
      </c>
      <c r="AJ35" s="3">
        <f t="shared" si="40"/>
        <v>51427.216546974225</v>
      </c>
      <c r="AK35" s="3">
        <f t="shared" si="40"/>
        <v>52455.760877913708</v>
      </c>
      <c r="AL35" s="3">
        <f t="shared" si="40"/>
        <v>53504.876095471984</v>
      </c>
      <c r="AM35" s="3">
        <f t="shared" si="40"/>
        <v>54574.973617381424</v>
      </c>
      <c r="AN35" s="3">
        <f t="shared" si="40"/>
        <v>55666.47308972905</v>
      </c>
      <c r="AO35" s="3">
        <f t="shared" si="40"/>
        <v>56779.80255152363</v>
      </c>
      <c r="AP35" s="3">
        <f t="shared" si="40"/>
        <v>57915.398602554102</v>
      </c>
      <c r="AQ35" s="3">
        <f t="shared" si="40"/>
        <v>59073.706574605181</v>
      </c>
      <c r="AR35" s="3">
        <f t="shared" si="40"/>
        <v>60255.180706097286</v>
      </c>
      <c r="AS35" s="3">
        <f t="shared" si="40"/>
        <v>61460.284320219231</v>
      </c>
      <c r="AT35" s="3">
        <f t="shared" si="40"/>
        <v>62689.490006623615</v>
      </c>
      <c r="AU35" s="3">
        <f t="shared" si="40"/>
        <v>63943.279806756087</v>
      </c>
      <c r="AV35" s="3">
        <f t="shared" si="40"/>
        <v>65222.145402891212</v>
      </c>
      <c r="AW35" s="3">
        <f t="shared" si="40"/>
        <v>66526.588310949039</v>
      </c>
      <c r="AX35" s="3">
        <f t="shared" si="40"/>
        <v>67857.120077168016</v>
      </c>
      <c r="AY35" s="3">
        <f t="shared" si="40"/>
        <v>69214.262478711375</v>
      </c>
      <c r="AZ35" s="3">
        <f t="shared" si="40"/>
        <v>70598.547728285601</v>
      </c>
      <c r="BA35" s="3">
        <f t="shared" si="40"/>
        <v>72010.518682851311</v>
      </c>
      <c r="BB35" s="3">
        <f t="shared" si="40"/>
        <v>73450.729056508339</v>
      </c>
      <c r="BC35" s="3">
        <f t="shared" si="40"/>
        <v>74919.743637638501</v>
      </c>
      <c r="BD35" s="3">
        <f t="shared" si="40"/>
        <v>76418.138510391276</v>
      </c>
      <c r="BE35" s="3">
        <f t="shared" si="40"/>
        <v>77946.501280599099</v>
      </c>
      <c r="BF35" s="3">
        <f t="shared" si="40"/>
        <v>79505.431306211089</v>
      </c>
      <c r="BG35" s="3">
        <f t="shared" si="40"/>
        <v>81095.539932335305</v>
      </c>
      <c r="BH35" s="3">
        <f t="shared" si="40"/>
        <v>82717.450730982018</v>
      </c>
      <c r="BI35" s="3">
        <f t="shared" si="40"/>
        <v>84371.79974560166</v>
      </c>
      <c r="BJ35" s="3">
        <f t="shared" si="40"/>
        <v>86059.235740513701</v>
      </c>
      <c r="BK35" s="3">
        <f t="shared" si="40"/>
        <v>87780.420455323983</v>
      </c>
      <c r="BL35" s="3">
        <f t="shared" si="40"/>
        <v>89536.028864430467</v>
      </c>
      <c r="BM35" s="3">
        <f t="shared" si="40"/>
        <v>91326.749441719076</v>
      </c>
      <c r="BN35" s="3">
        <f t="shared" si="40"/>
        <v>93153.284430553453</v>
      </c>
      <c r="BO35" s="3">
        <f t="shared" si="40"/>
        <v>95016.350119164519</v>
      </c>
      <c r="BP35" s="3">
        <f t="shared" si="40"/>
        <v>96916.677121547807</v>
      </c>
      <c r="BQ35" s="3">
        <f t="shared" si="40"/>
        <v>98855.01066397877</v>
      </c>
      <c r="BR35" s="3">
        <f t="shared" si="40"/>
        <v>100832.11087725835</v>
      </c>
      <c r="BS35" s="3">
        <f t="shared" si="40"/>
        <v>102848.75309480353</v>
      </c>
      <c r="BT35" s="3">
        <f t="shared" si="40"/>
        <v>104905.7281566996</v>
      </c>
      <c r="BU35" s="3">
        <f t="shared" si="40"/>
        <v>107003.84271983358</v>
      </c>
      <c r="BV35" s="3">
        <f t="shared" si="40"/>
        <v>109143.91957423025</v>
      </c>
      <c r="BW35" s="3">
        <f t="shared" si="40"/>
        <v>111326.79796571487</v>
      </c>
      <c r="BX35" s="3">
        <f t="shared" ref="BX35:CU35" si="41">BW35*(1+$M$15)</f>
        <v>113553.33392502916</v>
      </c>
      <c r="BY35" s="3">
        <f t="shared" si="41"/>
        <v>115824.40060352975</v>
      </c>
      <c r="BZ35" s="3">
        <f t="shared" si="41"/>
        <v>118140.88861560034</v>
      </c>
      <c r="CA35" s="3">
        <f t="shared" si="41"/>
        <v>120503.70638791235</v>
      </c>
      <c r="CB35" s="3">
        <f t="shared" si="41"/>
        <v>122913.78051567059</v>
      </c>
      <c r="CC35" s="3">
        <f t="shared" si="41"/>
        <v>125372.056125984</v>
      </c>
      <c r="CD35" s="3">
        <f t="shared" si="41"/>
        <v>127879.49724850369</v>
      </c>
      <c r="CE35" s="3">
        <f t="shared" si="41"/>
        <v>130437.08719347377</v>
      </c>
      <c r="CF35" s="3">
        <f t="shared" si="41"/>
        <v>133045.82893734323</v>
      </c>
      <c r="CG35" s="3">
        <f t="shared" si="41"/>
        <v>135706.7455160901</v>
      </c>
      <c r="CH35" s="3">
        <f t="shared" si="41"/>
        <v>138420.8804264119</v>
      </c>
      <c r="CI35" s="3">
        <f t="shared" si="41"/>
        <v>141189.29803494015</v>
      </c>
      <c r="CJ35" s="3">
        <f t="shared" si="41"/>
        <v>144013.08399563894</v>
      </c>
      <c r="CK35" s="3">
        <f t="shared" si="41"/>
        <v>146893.34567555171</v>
      </c>
      <c r="CL35" s="3">
        <f t="shared" si="41"/>
        <v>149831.21258906275</v>
      </c>
      <c r="CM35" s="3">
        <f t="shared" si="41"/>
        <v>152827.83684084401</v>
      </c>
      <c r="CN35" s="3">
        <f t="shared" si="41"/>
        <v>155884.3935776609</v>
      </c>
      <c r="CO35" s="3">
        <f t="shared" si="41"/>
        <v>159002.08144921411</v>
      </c>
      <c r="CP35" s="3">
        <f t="shared" si="41"/>
        <v>162182.1230781984</v>
      </c>
      <c r="CQ35" s="3">
        <f t="shared" si="41"/>
        <v>165425.76553976239</v>
      </c>
      <c r="CR35" s="3">
        <f t="shared" si="41"/>
        <v>168734.28085055764</v>
      </c>
      <c r="CS35" s="3">
        <f t="shared" si="41"/>
        <v>172108.9664675688</v>
      </c>
      <c r="CT35" s="3">
        <f t="shared" si="41"/>
        <v>175551.14579692017</v>
      </c>
      <c r="CU35" s="3">
        <f t="shared" si="41"/>
        <v>179062.16871285858</v>
      </c>
    </row>
    <row r="37" spans="2:99" x14ac:dyDescent="0.2">
      <c r="C37" s="4"/>
      <c r="D37" s="4"/>
      <c r="E37" s="4"/>
      <c r="F37" s="4"/>
      <c r="G37" s="4"/>
      <c r="H37" s="4"/>
      <c r="I37" s="4"/>
      <c r="J37" s="4"/>
    </row>
    <row r="38" spans="2:99" x14ac:dyDescent="0.2">
      <c r="C38" s="4"/>
      <c r="D38" s="4"/>
      <c r="E38" s="4"/>
      <c r="F38" s="4"/>
      <c r="G38" s="4"/>
      <c r="H38" s="4"/>
      <c r="I38" s="4"/>
      <c r="J38" s="4"/>
    </row>
    <row r="39" spans="2:99" x14ac:dyDescent="0.2">
      <c r="B39" s="1" t="s">
        <v>33</v>
      </c>
      <c r="E39" s="1">
        <f>E41-E43</f>
        <v>-96671</v>
      </c>
      <c r="F39" s="1">
        <f>E39+F21</f>
        <v>-79815.756758893753</v>
      </c>
      <c r="G39" s="1">
        <f t="shared" ref="G39:J39" si="42">F39+G21</f>
        <v>-59096.944066957403</v>
      </c>
      <c r="H39" s="1">
        <f t="shared" si="42"/>
        <v>-33692.181881479293</v>
      </c>
      <c r="I39" s="1">
        <f t="shared" si="42"/>
        <v>-2601.4734555086325</v>
      </c>
      <c r="J39" s="1">
        <f t="shared" si="42"/>
        <v>35391.35766522085</v>
      </c>
    </row>
    <row r="40" spans="2:99" x14ac:dyDescent="0.2">
      <c r="C40" s="4"/>
      <c r="D40" s="4"/>
      <c r="E40" s="4"/>
    </row>
    <row r="41" spans="2:99" x14ac:dyDescent="0.2">
      <c r="B41" s="1" t="s">
        <v>3</v>
      </c>
      <c r="E41" s="1">
        <f>17406+417</f>
        <v>17823</v>
      </c>
    </row>
    <row r="43" spans="2:99" x14ac:dyDescent="0.2">
      <c r="B43" s="1" t="s">
        <v>4</v>
      </c>
      <c r="E43" s="1">
        <v>114494</v>
      </c>
    </row>
  </sheetData>
  <hyperlinks>
    <hyperlink ref="A1" location="Sheet1!A1" display="Main" xr:uid="{12E0648C-BC8E-47B6-B31C-9CA493EE1BC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2025-04-15T21:55:38Z</dcterms:created>
  <dcterms:modified xsi:type="dcterms:W3CDTF">2025-06-17T03:01:02Z</dcterms:modified>
</cp:coreProperties>
</file>