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24B0269-9CC5-432E-A697-AE3F5999E9AE}" xr6:coauthVersionLast="47" xr6:coauthVersionMax="47" xr10:uidLastSave="{00000000-0000-0000-0000-000000000000}"/>
  <bookViews>
    <workbookView xWindow="2295" yWindow="285" windowWidth="21945" windowHeight="14610" activeTab="1" xr2:uid="{08012682-0F50-4229-84EC-14421E66CA3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2" l="1"/>
  <c r="F17" i="2"/>
  <c r="F3" i="2"/>
  <c r="G3" i="2"/>
  <c r="H3" i="2" s="1"/>
  <c r="I3" i="2" s="1"/>
  <c r="J3" i="2" s="1"/>
  <c r="K3" i="2" s="1"/>
  <c r="L3" i="2" s="1"/>
  <c r="M3" i="2" s="1"/>
  <c r="N3" i="2" s="1"/>
  <c r="O3" i="2" s="1"/>
  <c r="D33" i="2"/>
  <c r="E33" i="2"/>
  <c r="C33" i="2"/>
  <c r="F18" i="2"/>
  <c r="G18" i="2" s="1"/>
  <c r="H18" i="2" s="1"/>
  <c r="I18" i="2" s="1"/>
  <c r="J18" i="2" s="1"/>
  <c r="K18" i="2" s="1"/>
  <c r="L18" i="2" s="1"/>
  <c r="M18" i="2" s="1"/>
  <c r="N18" i="2" s="1"/>
  <c r="O18" i="2" s="1"/>
  <c r="F25" i="2"/>
  <c r="E25" i="2"/>
  <c r="D25" i="2"/>
  <c r="D15" i="2"/>
  <c r="E15" i="2"/>
  <c r="C15" i="2"/>
  <c r="E35" i="2"/>
  <c r="D8" i="2"/>
  <c r="D9" i="2" s="1"/>
  <c r="E8" i="2"/>
  <c r="E9" i="2" s="1"/>
  <c r="C8" i="2"/>
  <c r="C9" i="2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O4" i="1"/>
  <c r="O7" i="1" s="1"/>
  <c r="F15" i="2" l="1"/>
  <c r="C27" i="2"/>
  <c r="C16" i="2"/>
  <c r="C19" i="2" s="1"/>
  <c r="E27" i="2"/>
  <c r="E16" i="2"/>
  <c r="E19" i="2" s="1"/>
  <c r="D27" i="2"/>
  <c r="D16" i="2"/>
  <c r="D19" i="2" s="1"/>
  <c r="F8" i="2"/>
  <c r="F9" i="2" s="1"/>
  <c r="F16" i="2" s="1"/>
  <c r="F19" i="2" s="1"/>
  <c r="F20" i="2" s="1"/>
  <c r="D21" i="2" l="1"/>
  <c r="E21" i="2"/>
  <c r="C21" i="2"/>
  <c r="F21" i="2"/>
  <c r="F33" i="2" s="1"/>
  <c r="G25" i="2"/>
  <c r="G15" i="2" s="1"/>
  <c r="G8" i="2"/>
  <c r="G9" i="2" s="1"/>
  <c r="G16" i="2" s="1"/>
  <c r="F35" i="2" l="1"/>
  <c r="H8" i="2"/>
  <c r="H9" i="2" s="1"/>
  <c r="H25" i="2"/>
  <c r="H15" i="2" s="1"/>
  <c r="G17" i="2" l="1"/>
  <c r="G19" i="2" s="1"/>
  <c r="H16" i="2"/>
  <c r="I8" i="2"/>
  <c r="I9" i="2" s="1"/>
  <c r="I25" i="2"/>
  <c r="I15" i="2" s="1"/>
  <c r="G20" i="2" l="1"/>
  <c r="G21" i="2"/>
  <c r="G33" i="2"/>
  <c r="G35" i="2"/>
  <c r="K8" i="2"/>
  <c r="K9" i="2" s="1"/>
  <c r="K25" i="2"/>
  <c r="I16" i="2"/>
  <c r="J8" i="2"/>
  <c r="J9" i="2" s="1"/>
  <c r="J25" i="2"/>
  <c r="J15" i="2" s="1"/>
  <c r="H17" i="2" l="1"/>
  <c r="H19" i="2" s="1"/>
  <c r="K15" i="2"/>
  <c r="K16" i="2" s="1"/>
  <c r="L25" i="2"/>
  <c r="L15" i="2" s="1"/>
  <c r="L8" i="2"/>
  <c r="L9" i="2" s="1"/>
  <c r="L16" i="2" s="1"/>
  <c r="J16" i="2"/>
  <c r="H20" i="2" l="1"/>
  <c r="H21" i="2"/>
  <c r="H33" i="2" s="1"/>
  <c r="H35" i="2"/>
  <c r="M25" i="2"/>
  <c r="M15" i="2" s="1"/>
  <c r="M8" i="2"/>
  <c r="M9" i="2" s="1"/>
  <c r="M16" i="2" s="1"/>
  <c r="I17" i="2" l="1"/>
  <c r="I19" i="2" s="1"/>
  <c r="N25" i="2"/>
  <c r="N15" i="2" s="1"/>
  <c r="N8" i="2"/>
  <c r="N9" i="2" s="1"/>
  <c r="I20" i="2" l="1"/>
  <c r="I21" i="2"/>
  <c r="N16" i="2"/>
  <c r="O25" i="2"/>
  <c r="O15" i="2" s="1"/>
  <c r="O8" i="2"/>
  <c r="O9" i="2" s="1"/>
  <c r="O16" i="2" s="1"/>
  <c r="I33" i="2" l="1"/>
  <c r="I35" i="2"/>
  <c r="J17" i="2" s="1"/>
  <c r="J19" i="2" s="1"/>
  <c r="J20" i="2" s="1"/>
  <c r="J21" i="2"/>
  <c r="J33" i="2" s="1"/>
  <c r="J35" i="2" l="1"/>
  <c r="K17" i="2" s="1"/>
  <c r="K19" i="2" l="1"/>
  <c r="K20" i="2" s="1"/>
  <c r="K21" i="2" l="1"/>
  <c r="K33" i="2" s="1"/>
  <c r="K35" i="2" l="1"/>
  <c r="L17" i="2" s="1"/>
  <c r="L19" i="2" l="1"/>
  <c r="L20" i="2" s="1"/>
  <c r="L21" i="2" l="1"/>
  <c r="L33" i="2" s="1"/>
  <c r="L35" i="2" l="1"/>
  <c r="M17" i="2" s="1"/>
  <c r="M19" i="2" l="1"/>
  <c r="M20" i="2" s="1"/>
  <c r="M21" i="2" l="1"/>
  <c r="M33" i="2" s="1"/>
  <c r="M35" i="2" l="1"/>
  <c r="N17" i="2" s="1"/>
  <c r="N19" i="2" l="1"/>
  <c r="N20" i="2" s="1"/>
  <c r="N21" i="2" l="1"/>
  <c r="N33" i="2" l="1"/>
  <c r="N35" i="2"/>
  <c r="O17" i="2" l="1"/>
  <c r="O19" i="2" s="1"/>
  <c r="O20" i="2" l="1"/>
  <c r="O21" i="2"/>
  <c r="O35" i="2"/>
  <c r="O33" i="2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R29" i="2" s="1"/>
  <c r="R30" i="2" s="1"/>
  <c r="P21" i="2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</calcChain>
</file>

<file path=xl/sharedStrings.xml><?xml version="1.0" encoding="utf-8"?>
<sst xmlns="http://schemas.openxmlformats.org/spreadsheetml/2006/main" count="47" uniqueCount="41">
  <si>
    <t>Price</t>
  </si>
  <si>
    <t>Shares</t>
  </si>
  <si>
    <t>MC</t>
  </si>
  <si>
    <t>Debt</t>
  </si>
  <si>
    <t>Cash</t>
  </si>
  <si>
    <t>EV</t>
  </si>
  <si>
    <t>Q424</t>
  </si>
  <si>
    <t>Revenue</t>
  </si>
  <si>
    <t>COGS</t>
  </si>
  <si>
    <t>Oil &amp; Gas</t>
  </si>
  <si>
    <t>Transporation &amp; Gathering</t>
  </si>
  <si>
    <t>Chemical &amp; Midstream</t>
  </si>
  <si>
    <t>Commodities Purchases</t>
  </si>
  <si>
    <t>Gross Profit</t>
  </si>
  <si>
    <t>SG&amp;A</t>
  </si>
  <si>
    <t>Other Operating Expense</t>
  </si>
  <si>
    <t>Other Taxes</t>
  </si>
  <si>
    <t>D&amp;A</t>
  </si>
  <si>
    <t>Exploration</t>
  </si>
  <si>
    <t>OPEX</t>
  </si>
  <si>
    <t>Interest</t>
  </si>
  <si>
    <t>Operating Income</t>
  </si>
  <si>
    <t>Equity Investments</t>
  </si>
  <si>
    <t>Pretax Income</t>
  </si>
  <si>
    <t>Tax</t>
  </si>
  <si>
    <t>Net Income</t>
  </si>
  <si>
    <t>EPS</t>
  </si>
  <si>
    <t>Revenue Growth</t>
  </si>
  <si>
    <t>Gross Margin</t>
  </si>
  <si>
    <t>Operating Margin</t>
  </si>
  <si>
    <t>FCF Margin</t>
  </si>
  <si>
    <t>CFFO</t>
  </si>
  <si>
    <t>CX</t>
  </si>
  <si>
    <t>FCF</t>
  </si>
  <si>
    <t>Net Cash</t>
  </si>
  <si>
    <t>ROIC</t>
  </si>
  <si>
    <t>Maturity</t>
  </si>
  <si>
    <t>Discount</t>
  </si>
  <si>
    <t>NPV</t>
  </si>
  <si>
    <t>Diff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</si>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</sst>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0" fontId="1" fillId="0" borderId="0" xfId="0" applyNumberFormat="1" applyFont="1"/>
    <xf numFmtId="3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9525</xdr:rowOff>
    </xdr:from>
    <xdr:to>
      <xdr:col>5</xdr:col>
      <xdr:colOff>19050</xdr:colOff>
      <xdr:row>36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E8E5B2-2C18-BF81-64BF-E604B08CD4CD}"/>
            </a:ext>
          </a:extLst>
        </xdr:cNvPr>
        <xdr:cNvCxnSpPr/>
      </xdr:nvCxnSpPr>
      <xdr:spPr>
        <a:xfrm>
          <a:off x="2428875" y="9525"/>
          <a:ext cx="28575" cy="6972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9A49-802E-4E87-81BC-A60DBADF9707}">
  <dimension ref="A1:P7"/>
  <sheetViews>
    <sheetView topLeftCell="A2" zoomScale="115" zoomScaleNormal="115" workbookViewId="0">
      <selection activeCell="C34" sqref="C33:C34"/>
    </sheetView>
  </sheetViews>
  <sheetFormatPr defaultRowHeight="12.75" x14ac:dyDescent="0.2"/>
  <cols>
    <col min="1" max="16384" width="9.140625" style="2"/>
  </cols>
  <sheetData>
    <row r="1" spans="1:16" x14ac:dyDescent="0.2">
      <c r="A1" s="1"/>
    </row>
    <row r="2" spans="1:16" x14ac:dyDescent="0.2">
      <c r="N2" s="2" t="s">
        <v>0</v>
      </c>
      <c r="O2" s="3">
        <v>45</v>
      </c>
    </row>
    <row r="3" spans="1:16" x14ac:dyDescent="0.2">
      <c r="N3" s="2" t="s">
        <v>1</v>
      </c>
      <c r="O3" s="3">
        <v>938.5</v>
      </c>
      <c r="P3" s="2" t="s">
        <v>6</v>
      </c>
    </row>
    <row r="4" spans="1:16" x14ac:dyDescent="0.2">
      <c r="N4" s="2" t="s">
        <v>2</v>
      </c>
      <c r="O4" s="3">
        <f>O2*O3</f>
        <v>42232.5</v>
      </c>
    </row>
    <row r="5" spans="1:16" x14ac:dyDescent="0.2">
      <c r="N5" s="2" t="s">
        <v>4</v>
      </c>
      <c r="O5" s="3">
        <v>2132</v>
      </c>
      <c r="P5" s="2" t="s">
        <v>6</v>
      </c>
    </row>
    <row r="6" spans="1:16" x14ac:dyDescent="0.2">
      <c r="N6" s="2" t="s">
        <v>3</v>
      </c>
      <c r="O6" s="3">
        <v>24978</v>
      </c>
      <c r="P6" s="2" t="s">
        <v>6</v>
      </c>
    </row>
    <row r="7" spans="1:16" x14ac:dyDescent="0.2">
      <c r="N7" s="2" t="s">
        <v>5</v>
      </c>
      <c r="O7" s="3">
        <f>O4+O6-O5</f>
        <v>65078.5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DD9-D054-412C-8D4F-F7B90108ECDA}">
  <dimension ref="A1:CV39"/>
  <sheetViews>
    <sheetView tabSelected="1" zoomScale="130" zoomScaleNormal="130" workbookViewId="0">
      <pane xSplit="2" ySplit="2" topLeftCell="H12" activePane="bottomRight" state="frozen"/>
      <selection pane="topRight" activeCell="B1" sqref="B1"/>
      <selection pane="bottomLeft" activeCell="A2" sqref="A2"/>
      <selection pane="bottomRight" activeCell="R28" sqref="R28"/>
    </sheetView>
  </sheetViews>
  <sheetFormatPr defaultRowHeight="12.75" x14ac:dyDescent="0.2"/>
  <cols>
    <col min="1" max="1" width="5" style="3" customWidth="1"/>
    <col min="2" max="2" width="24" style="3" customWidth="1"/>
    <col min="3" max="16384" width="9.140625" style="3"/>
  </cols>
  <sheetData>
    <row r="1" spans="1:15" ht="15" x14ac:dyDescent="0.25">
      <c r="A1" s="9" t="s">
        <v>40</v>
      </c>
    </row>
    <row r="2" spans="1:15" x14ac:dyDescent="0.2">
      <c r="C2" s="4">
        <v>2022</v>
      </c>
      <c r="D2" s="4">
        <f>C2+1</f>
        <v>2023</v>
      </c>
      <c r="E2" s="4">
        <f t="shared" ref="E2:J2" si="0">D2+1</f>
        <v>2024</v>
      </c>
      <c r="F2" s="4">
        <f t="shared" si="0"/>
        <v>2025</v>
      </c>
      <c r="G2" s="4">
        <f t="shared" si="0"/>
        <v>2026</v>
      </c>
      <c r="H2" s="4">
        <f t="shared" si="0"/>
        <v>2027</v>
      </c>
      <c r="I2" s="4">
        <f t="shared" si="0"/>
        <v>2028</v>
      </c>
      <c r="J2" s="4">
        <f t="shared" si="0"/>
        <v>2029</v>
      </c>
      <c r="K2" s="4">
        <f t="shared" ref="K2" si="1">J2+1</f>
        <v>2030</v>
      </c>
      <c r="L2" s="4">
        <f t="shared" ref="L2" si="2">K2+1</f>
        <v>2031</v>
      </c>
      <c r="M2" s="4">
        <f t="shared" ref="M2" si="3">L2+1</f>
        <v>2032</v>
      </c>
      <c r="N2" s="4">
        <f t="shared" ref="N2" si="4">M2+1</f>
        <v>2033</v>
      </c>
      <c r="O2" s="4">
        <f t="shared" ref="O2" si="5">N2+1</f>
        <v>2034</v>
      </c>
    </row>
    <row r="3" spans="1:15" s="5" customFormat="1" x14ac:dyDescent="0.2">
      <c r="B3" s="5" t="s">
        <v>7</v>
      </c>
      <c r="C3" s="5">
        <v>36634</v>
      </c>
      <c r="D3" s="5">
        <v>28257</v>
      </c>
      <c r="E3" s="5">
        <v>26725</v>
      </c>
      <c r="F3" s="5">
        <f>E3*1.03</f>
        <v>27526.75</v>
      </c>
      <c r="G3" s="5">
        <f t="shared" ref="G3:I3" si="6">F3*1.03</f>
        <v>28352.552500000002</v>
      </c>
      <c r="H3" s="5">
        <f t="shared" si="6"/>
        <v>29203.129075000001</v>
      </c>
      <c r="I3" s="5">
        <f t="shared" si="6"/>
        <v>30079.22294725</v>
      </c>
      <c r="J3" s="5">
        <f t="shared" ref="J3" si="7">I3*1.03</f>
        <v>30981.599635667502</v>
      </c>
      <c r="K3" s="5">
        <f>J3*1.01</f>
        <v>31291.415632024178</v>
      </c>
      <c r="L3" s="5">
        <f t="shared" ref="L3:O3" si="8">K3*1.01</f>
        <v>31604.329788344421</v>
      </c>
      <c r="M3" s="5">
        <f t="shared" si="8"/>
        <v>31920.373086227864</v>
      </c>
      <c r="N3" s="5">
        <f t="shared" si="8"/>
        <v>32239.576817090143</v>
      </c>
      <c r="O3" s="5">
        <f t="shared" si="8"/>
        <v>32561.972585261046</v>
      </c>
    </row>
    <row r="4" spans="1:15" x14ac:dyDescent="0.2">
      <c r="B4" s="3" t="s">
        <v>9</v>
      </c>
      <c r="C4" s="3">
        <v>4028</v>
      </c>
      <c r="D4" s="3">
        <v>4677</v>
      </c>
      <c r="E4" s="3">
        <v>4738</v>
      </c>
    </row>
    <row r="5" spans="1:15" x14ac:dyDescent="0.2">
      <c r="B5" s="3" t="s">
        <v>10</v>
      </c>
      <c r="C5" s="3">
        <v>1475</v>
      </c>
      <c r="D5" s="3">
        <v>1481</v>
      </c>
      <c r="E5" s="3">
        <v>1608</v>
      </c>
    </row>
    <row r="6" spans="1:15" x14ac:dyDescent="0.2">
      <c r="B6" s="3" t="s">
        <v>11</v>
      </c>
      <c r="C6" s="3">
        <v>3273</v>
      </c>
      <c r="D6" s="3">
        <v>3116</v>
      </c>
      <c r="E6" s="3">
        <v>3121</v>
      </c>
    </row>
    <row r="7" spans="1:15" x14ac:dyDescent="0.2">
      <c r="B7" s="3" t="s">
        <v>12</v>
      </c>
      <c r="C7" s="3">
        <v>3287</v>
      </c>
      <c r="D7" s="3">
        <v>2009</v>
      </c>
      <c r="E7" s="3">
        <v>337</v>
      </c>
    </row>
    <row r="8" spans="1:15" x14ac:dyDescent="0.2">
      <c r="B8" s="3" t="s">
        <v>8</v>
      </c>
      <c r="C8" s="3">
        <f>SUM(C4:C7)</f>
        <v>12063</v>
      </c>
      <c r="D8" s="3">
        <f t="shared" ref="D8:E8" si="9">SUM(D4:D7)</f>
        <v>11283</v>
      </c>
      <c r="E8" s="3">
        <f t="shared" si="9"/>
        <v>9804</v>
      </c>
      <c r="F8" s="3">
        <f>F3*(1-F27)</f>
        <v>10460.165000000001</v>
      </c>
      <c r="G8" s="3">
        <f>G3*(1-G27)</f>
        <v>10773.969950000001</v>
      </c>
      <c r="H8" s="3">
        <f>H3*(1-H27)</f>
        <v>11097.1890485</v>
      </c>
      <c r="I8" s="3">
        <f>I3*(1-I27)</f>
        <v>11430.104719954999</v>
      </c>
      <c r="J8" s="3">
        <f>J3*(1-J27)</f>
        <v>11773.007861553651</v>
      </c>
      <c r="K8" s="3">
        <f>K3*(1-K27)</f>
        <v>11890.737940169189</v>
      </c>
      <c r="L8" s="3">
        <f>L3*(1-L27)</f>
        <v>12009.64531957088</v>
      </c>
      <c r="M8" s="3">
        <f>M3*(1-M27)</f>
        <v>12129.741772766589</v>
      </c>
      <c r="N8" s="3">
        <f>N3*(1-N27)</f>
        <v>12251.039190494255</v>
      </c>
      <c r="O8" s="3">
        <f>O3*(1-O27)</f>
        <v>12373.549582399197</v>
      </c>
    </row>
    <row r="9" spans="1:15" x14ac:dyDescent="0.2">
      <c r="B9" s="3" t="s">
        <v>13</v>
      </c>
      <c r="C9" s="3">
        <f>C3-C8</f>
        <v>24571</v>
      </c>
      <c r="D9" s="3">
        <f t="shared" ref="D9:E9" si="10">D3-D8</f>
        <v>16974</v>
      </c>
      <c r="E9" s="3">
        <f t="shared" si="10"/>
        <v>16921</v>
      </c>
      <c r="F9" s="3">
        <f t="shared" ref="F9" si="11">F3-F8</f>
        <v>17066.584999999999</v>
      </c>
      <c r="G9" s="3">
        <f t="shared" ref="G9" si="12">G3-G8</f>
        <v>17578.582549999999</v>
      </c>
      <c r="H9" s="3">
        <f t="shared" ref="H9" si="13">H3-H8</f>
        <v>18105.9400265</v>
      </c>
      <c r="I9" s="3">
        <f t="shared" ref="I9" si="14">I3-I8</f>
        <v>18649.118227295003</v>
      </c>
      <c r="J9" s="3">
        <f t="shared" ref="J9:O9" si="15">J3-J8</f>
        <v>19208.591774113851</v>
      </c>
      <c r="K9" s="3">
        <f t="shared" si="15"/>
        <v>19400.677691854988</v>
      </c>
      <c r="L9" s="3">
        <f t="shared" si="15"/>
        <v>19594.684468773543</v>
      </c>
      <c r="M9" s="3">
        <f t="shared" si="15"/>
        <v>19790.631313461276</v>
      </c>
      <c r="N9" s="3">
        <f t="shared" si="15"/>
        <v>19988.537626595888</v>
      </c>
      <c r="O9" s="3">
        <f t="shared" si="15"/>
        <v>20188.423002861848</v>
      </c>
    </row>
    <row r="10" spans="1:15" x14ac:dyDescent="0.2">
      <c r="B10" s="3" t="s">
        <v>14</v>
      </c>
      <c r="C10" s="3">
        <v>945</v>
      </c>
      <c r="D10" s="3">
        <v>1083</v>
      </c>
      <c r="E10" s="3">
        <v>1062</v>
      </c>
    </row>
    <row r="11" spans="1:15" x14ac:dyDescent="0.2">
      <c r="B11" s="3" t="s">
        <v>15</v>
      </c>
      <c r="C11" s="3">
        <v>1271</v>
      </c>
      <c r="D11" s="3">
        <v>1084</v>
      </c>
      <c r="E11" s="3">
        <v>1581</v>
      </c>
    </row>
    <row r="12" spans="1:15" x14ac:dyDescent="0.2">
      <c r="B12" s="3" t="s">
        <v>16</v>
      </c>
      <c r="C12" s="3">
        <v>1271</v>
      </c>
      <c r="D12" s="3">
        <v>1084</v>
      </c>
      <c r="E12" s="3">
        <v>1062</v>
      </c>
    </row>
    <row r="13" spans="1:15" x14ac:dyDescent="0.2">
      <c r="B13" s="3" t="s">
        <v>17</v>
      </c>
      <c r="C13" s="3">
        <v>6926</v>
      </c>
      <c r="D13" s="3">
        <v>6865</v>
      </c>
      <c r="E13" s="3">
        <v>7371</v>
      </c>
    </row>
    <row r="14" spans="1:15" x14ac:dyDescent="0.2">
      <c r="B14" s="3" t="s">
        <v>18</v>
      </c>
      <c r="C14" s="3">
        <v>216</v>
      </c>
      <c r="D14" s="3">
        <v>441</v>
      </c>
      <c r="E14" s="3">
        <v>275</v>
      </c>
    </row>
    <row r="15" spans="1:15" x14ac:dyDescent="0.2">
      <c r="B15" s="3" t="s">
        <v>19</v>
      </c>
      <c r="C15" s="3">
        <f>SUM(C10:C14)</f>
        <v>10629</v>
      </c>
      <c r="D15" s="3">
        <f t="shared" ref="D15:E15" si="16">SUM(D10:D14)</f>
        <v>10557</v>
      </c>
      <c r="E15" s="3">
        <f t="shared" si="16"/>
        <v>11351</v>
      </c>
      <c r="F15" s="3">
        <f>E15*(1+F25)</f>
        <v>11691.53</v>
      </c>
      <c r="G15" s="3">
        <f t="shared" ref="G15:J15" si="17">F15*(1+G25)</f>
        <v>12042.275900000001</v>
      </c>
      <c r="H15" s="3">
        <f t="shared" si="17"/>
        <v>12403.544177000002</v>
      </c>
      <c r="I15" s="3">
        <f t="shared" si="17"/>
        <v>12775.650502310002</v>
      </c>
      <c r="J15" s="3">
        <f t="shared" si="17"/>
        <v>13158.920017379301</v>
      </c>
      <c r="K15" s="3">
        <f t="shared" ref="K15" si="18">J15*(1+K25)</f>
        <v>13290.509217553095</v>
      </c>
      <c r="L15" s="3">
        <f t="shared" ref="L15" si="19">K15*(1+L25)</f>
        <v>13423.414309728627</v>
      </c>
      <c r="M15" s="3">
        <f t="shared" ref="M15" si="20">L15*(1+M25)</f>
        <v>13557.648452825913</v>
      </c>
      <c r="N15" s="3">
        <f t="shared" ref="N15" si="21">M15*(1+N25)</f>
        <v>13693.224937354173</v>
      </c>
      <c r="O15" s="3">
        <f t="shared" ref="O15" si="22">N15*(1+O25)</f>
        <v>13830.157186727714</v>
      </c>
    </row>
    <row r="16" spans="1:15" x14ac:dyDescent="0.2">
      <c r="B16" s="3" t="s">
        <v>21</v>
      </c>
      <c r="C16" s="3">
        <f>C9-C15</f>
        <v>13942</v>
      </c>
      <c r="D16" s="3">
        <f t="shared" ref="D16:J16" si="23">D9-D15</f>
        <v>6417</v>
      </c>
      <c r="E16" s="3">
        <f t="shared" si="23"/>
        <v>5570</v>
      </c>
      <c r="F16" s="3">
        <f t="shared" si="23"/>
        <v>5375.0549999999985</v>
      </c>
      <c r="G16" s="3">
        <f t="shared" si="23"/>
        <v>5536.3066499999986</v>
      </c>
      <c r="H16" s="3">
        <f t="shared" si="23"/>
        <v>5702.3958494999988</v>
      </c>
      <c r="I16" s="3">
        <f t="shared" si="23"/>
        <v>5873.467724985001</v>
      </c>
      <c r="J16" s="3">
        <f t="shared" si="23"/>
        <v>6049.6717567345495</v>
      </c>
      <c r="K16" s="3">
        <f t="shared" ref="K16:O16" si="24">K9-K15</f>
        <v>6110.1684743018923</v>
      </c>
      <c r="L16" s="3">
        <f t="shared" si="24"/>
        <v>6171.270159044916</v>
      </c>
      <c r="M16" s="3">
        <f t="shared" si="24"/>
        <v>6232.9828606353622</v>
      </c>
      <c r="N16" s="3">
        <f t="shared" si="24"/>
        <v>6295.3126892417149</v>
      </c>
      <c r="O16" s="3">
        <f t="shared" si="24"/>
        <v>6358.2658161341333</v>
      </c>
    </row>
    <row r="17" spans="2:99" x14ac:dyDescent="0.2">
      <c r="B17" s="3" t="s">
        <v>20</v>
      </c>
      <c r="C17" s="3">
        <v>-1030</v>
      </c>
      <c r="D17" s="3">
        <v>-945</v>
      </c>
      <c r="E17" s="3">
        <v>-1175</v>
      </c>
      <c r="F17" s="3">
        <f>E35*$R$25</f>
        <v>-456.92</v>
      </c>
      <c r="G17" s="3">
        <f t="shared" ref="G17:O17" si="25">F35*$R$25</f>
        <v>-363.88616000000002</v>
      </c>
      <c r="H17" s="3">
        <f t="shared" si="25"/>
        <v>-266.21000496000005</v>
      </c>
      <c r="I17" s="3">
        <f t="shared" si="25"/>
        <v>-163.71690715936006</v>
      </c>
      <c r="J17" s="3">
        <f t="shared" si="25"/>
        <v>-56.226204814629781</v>
      </c>
      <c r="K17" s="3">
        <f t="shared" si="25"/>
        <v>56.449000845989723</v>
      </c>
      <c r="L17" s="3">
        <f t="shared" si="25"/>
        <v>172.56616035145268</v>
      </c>
      <c r="M17" s="3">
        <f t="shared" si="25"/>
        <v>292.21687256101529</v>
      </c>
      <c r="N17" s="3">
        <f t="shared" si="25"/>
        <v>415.49537263534688</v>
      </c>
      <c r="O17" s="3">
        <f t="shared" si="25"/>
        <v>542.498618142297</v>
      </c>
    </row>
    <row r="18" spans="2:99" x14ac:dyDescent="0.2">
      <c r="B18" s="3" t="s">
        <v>22</v>
      </c>
      <c r="C18" s="3">
        <v>793</v>
      </c>
      <c r="D18" s="3">
        <v>534</v>
      </c>
      <c r="E18" s="3">
        <v>862</v>
      </c>
      <c r="F18" s="3">
        <f>E18*1.04</f>
        <v>896.48</v>
      </c>
      <c r="G18" s="3">
        <f t="shared" ref="G18:J18" si="26">F18*1.04</f>
        <v>932.33920000000001</v>
      </c>
      <c r="H18" s="3">
        <f t="shared" si="26"/>
        <v>969.63276800000006</v>
      </c>
      <c r="I18" s="3">
        <f t="shared" si="26"/>
        <v>1008.41807872</v>
      </c>
      <c r="J18" s="3">
        <f t="shared" si="26"/>
        <v>1048.7548018688001</v>
      </c>
      <c r="K18" s="3">
        <f t="shared" ref="K18:O18" si="27">J18*1.04</f>
        <v>1090.7049939435522</v>
      </c>
      <c r="L18" s="3">
        <f t="shared" si="27"/>
        <v>1134.3331937012942</v>
      </c>
      <c r="M18" s="3">
        <f t="shared" si="27"/>
        <v>1179.7065214493462</v>
      </c>
      <c r="N18" s="3">
        <f t="shared" si="27"/>
        <v>1226.8947823073202</v>
      </c>
      <c r="O18" s="3">
        <f t="shared" si="27"/>
        <v>1275.9705735996131</v>
      </c>
    </row>
    <row r="19" spans="2:99" x14ac:dyDescent="0.2">
      <c r="B19" s="3" t="s">
        <v>23</v>
      </c>
      <c r="C19" s="3">
        <f>C16+SUM(C17:C18)</f>
        <v>13705</v>
      </c>
      <c r="D19" s="3">
        <f t="shared" ref="D19:J19" si="28">D16+SUM(D17:D18)</f>
        <v>6006</v>
      </c>
      <c r="E19" s="3">
        <f t="shared" si="28"/>
        <v>5257</v>
      </c>
      <c r="F19" s="3">
        <f t="shared" si="28"/>
        <v>5814.6149999999989</v>
      </c>
      <c r="G19" s="3">
        <f t="shared" si="28"/>
        <v>6104.759689999999</v>
      </c>
      <c r="H19" s="3">
        <f t="shared" si="28"/>
        <v>6405.8186125399989</v>
      </c>
      <c r="I19" s="3">
        <f t="shared" si="28"/>
        <v>6718.1688965456415</v>
      </c>
      <c r="J19" s="3">
        <f t="shared" si="28"/>
        <v>7042.2003537887194</v>
      </c>
      <c r="K19" s="3">
        <f t="shared" ref="K19:O19" si="29">K16+SUM(K17:K18)</f>
        <v>7257.322469091434</v>
      </c>
      <c r="L19" s="3">
        <f t="shared" si="29"/>
        <v>7478.1695130976632</v>
      </c>
      <c r="M19" s="3">
        <f t="shared" si="29"/>
        <v>7704.9062546457235</v>
      </c>
      <c r="N19" s="3">
        <f t="shared" si="29"/>
        <v>7937.7028441843822</v>
      </c>
      <c r="O19" s="3">
        <f t="shared" si="29"/>
        <v>8176.7350078760428</v>
      </c>
    </row>
    <row r="20" spans="2:99" x14ac:dyDescent="0.2">
      <c r="B20" s="3" t="s">
        <v>24</v>
      </c>
      <c r="C20" s="3">
        <v>813</v>
      </c>
      <c r="D20" s="3">
        <v>1733</v>
      </c>
      <c r="E20" s="3">
        <v>1174</v>
      </c>
      <c r="F20" s="3">
        <f>F19*0.2</f>
        <v>1162.9229999999998</v>
      </c>
      <c r="G20" s="3">
        <f t="shared" ref="G20:O20" si="30">G19*0.2</f>
        <v>1220.9519379999999</v>
      </c>
      <c r="H20" s="3">
        <f t="shared" si="30"/>
        <v>1281.1637225079999</v>
      </c>
      <c r="I20" s="3">
        <f t="shared" si="30"/>
        <v>1343.6337793091284</v>
      </c>
      <c r="J20" s="3">
        <f t="shared" si="30"/>
        <v>1408.440070757744</v>
      </c>
      <c r="K20" s="3">
        <f t="shared" si="30"/>
        <v>1451.4644938182869</v>
      </c>
      <c r="L20" s="3">
        <f t="shared" si="30"/>
        <v>1495.6339026195328</v>
      </c>
      <c r="M20" s="3">
        <f t="shared" si="30"/>
        <v>1540.9812509291448</v>
      </c>
      <c r="N20" s="3">
        <f t="shared" si="30"/>
        <v>1587.5405688368764</v>
      </c>
      <c r="O20" s="3">
        <f t="shared" si="30"/>
        <v>1635.3470015752087</v>
      </c>
    </row>
    <row r="21" spans="2:99" s="5" customFormat="1" x14ac:dyDescent="0.2">
      <c r="B21" s="5" t="s">
        <v>25</v>
      </c>
      <c r="C21" s="5">
        <f>C19-C20</f>
        <v>12892</v>
      </c>
      <c r="D21" s="5">
        <f t="shared" ref="D21:J21" si="31">D19-D20</f>
        <v>4273</v>
      </c>
      <c r="E21" s="5">
        <f t="shared" si="31"/>
        <v>4083</v>
      </c>
      <c r="F21" s="5">
        <f t="shared" si="31"/>
        <v>4651.6919999999991</v>
      </c>
      <c r="G21" s="5">
        <f t="shared" si="31"/>
        <v>4883.8077519999988</v>
      </c>
      <c r="H21" s="5">
        <f t="shared" si="31"/>
        <v>5124.6548900319995</v>
      </c>
      <c r="I21" s="5">
        <f t="shared" si="31"/>
        <v>5374.5351172365135</v>
      </c>
      <c r="J21" s="5">
        <f t="shared" si="31"/>
        <v>5633.7602830309752</v>
      </c>
      <c r="K21" s="5">
        <f t="shared" ref="K21:O21" si="32">K19-K20</f>
        <v>5805.8579752731475</v>
      </c>
      <c r="L21" s="5">
        <f t="shared" si="32"/>
        <v>5982.5356104781304</v>
      </c>
      <c r="M21" s="5">
        <f t="shared" si="32"/>
        <v>6163.9250037165784</v>
      </c>
      <c r="N21" s="5">
        <f t="shared" si="32"/>
        <v>6350.1622753475058</v>
      </c>
      <c r="O21" s="5">
        <f t="shared" si="32"/>
        <v>6541.3880063008346</v>
      </c>
      <c r="P21" s="5">
        <f>O21*(1+$R$26)</f>
        <v>6475.9741262378266</v>
      </c>
      <c r="Q21" s="5">
        <f>P21*(1+$R$26)</f>
        <v>6411.2143849754484</v>
      </c>
      <c r="R21" s="5">
        <f>Q21*(1+$R$26)</f>
        <v>6347.1022411256936</v>
      </c>
      <c r="S21" s="5">
        <f>R21*(1+$R$26)</f>
        <v>6283.6312187144367</v>
      </c>
      <c r="T21" s="5">
        <f>S21*(1+$R$26)</f>
        <v>6220.7949065272924</v>
      </c>
      <c r="U21" s="5">
        <f>T21*(1+$R$26)</f>
        <v>6158.5869574620192</v>
      </c>
      <c r="V21" s="5">
        <f>U21*(1+$R$26)</f>
        <v>6097.0010878873991</v>
      </c>
      <c r="W21" s="5">
        <f>V21*(1+$R$26)</f>
        <v>6036.0310770085252</v>
      </c>
      <c r="X21" s="5">
        <f>W21*(1+$R$26)</f>
        <v>5975.6707662384397</v>
      </c>
      <c r="Y21" s="5">
        <f>X21*(1+$R$26)</f>
        <v>5915.9140585760551</v>
      </c>
      <c r="Z21" s="5">
        <f>Y21*(1+$R$26)</f>
        <v>5856.7549179902944</v>
      </c>
      <c r="AA21" s="5">
        <f>Z21*(1+$R$26)</f>
        <v>5798.1873688103915</v>
      </c>
      <c r="AB21" s="5">
        <f>AA21*(1+$R$26)</f>
        <v>5740.2054951222872</v>
      </c>
      <c r="AC21" s="5">
        <f>AB21*(1+$R$26)</f>
        <v>5682.8034401710638</v>
      </c>
      <c r="AD21" s="5">
        <f>AC21*(1+$R$26)</f>
        <v>5625.9754057693535</v>
      </c>
      <c r="AE21" s="5">
        <f>AD21*(1+$R$26)</f>
        <v>5569.71565171166</v>
      </c>
      <c r="AF21" s="5">
        <f>AE21*(1+$R$26)</f>
        <v>5514.018495194543</v>
      </c>
      <c r="AG21" s="5">
        <f>AF21*(1+$R$26)</f>
        <v>5458.8783102425978</v>
      </c>
      <c r="AH21" s="5">
        <f>AG21*(1+$R$26)</f>
        <v>5404.2895271401721</v>
      </c>
      <c r="AI21" s="5">
        <f>AH21*(1+$R$26)</f>
        <v>5350.2466318687702</v>
      </c>
      <c r="AJ21" s="5">
        <f>AI21*(1+$R$26)</f>
        <v>5296.7441655500825</v>
      </c>
      <c r="AK21" s="5">
        <f>AJ21*(1+$R$26)</f>
        <v>5243.7767238945817</v>
      </c>
      <c r="AL21" s="5">
        <f>AK21*(1+$R$26)</f>
        <v>5191.3389566556361</v>
      </c>
      <c r="AM21" s="5">
        <f>AL21*(1+$R$26)</f>
        <v>5139.4255670890798</v>
      </c>
      <c r="AN21" s="5">
        <f>AM21*(1+$R$26)</f>
        <v>5088.031311418189</v>
      </c>
      <c r="AO21" s="5">
        <f>AN21*(1+$R$26)</f>
        <v>5037.1509983040069</v>
      </c>
      <c r="AP21" s="5">
        <f>AO21*(1+$R$26)</f>
        <v>4986.7794883209672</v>
      </c>
      <c r="AQ21" s="5">
        <f>AP21*(1+$R$26)</f>
        <v>4936.9116934377571</v>
      </c>
      <c r="AR21" s="5">
        <f>AQ21*(1+$R$26)</f>
        <v>4887.5425765033797</v>
      </c>
      <c r="AS21" s="5">
        <f>AR21*(1+$R$26)</f>
        <v>4838.6671507383462</v>
      </c>
      <c r="AT21" s="5">
        <f>AS21*(1+$R$26)</f>
        <v>4790.2804792309626</v>
      </c>
      <c r="AU21" s="5">
        <f>AT21*(1+$R$26)</f>
        <v>4742.3776744386532</v>
      </c>
      <c r="AV21" s="5">
        <f>AU21*(1+$R$26)</f>
        <v>4694.9538976942667</v>
      </c>
      <c r="AW21" s="5">
        <f>AV21*(1+$R$26)</f>
        <v>4648.0043587173241</v>
      </c>
      <c r="AX21" s="5">
        <f>AW21*(1+$R$26)</f>
        <v>4601.5243151301511</v>
      </c>
      <c r="AY21" s="5">
        <f>AX21*(1+$R$26)</f>
        <v>4555.5090719788495</v>
      </c>
      <c r="AZ21" s="5">
        <f>AY21*(1+$R$26)</f>
        <v>4509.953981259061</v>
      </c>
      <c r="BA21" s="5">
        <f>AZ21*(1+$R$26)</f>
        <v>4464.8544414464704</v>
      </c>
      <c r="BB21" s="5">
        <f>BA21*(1+$R$26)</f>
        <v>4420.2058970320059</v>
      </c>
      <c r="BC21" s="5">
        <f>BB21*(1+$R$26)</f>
        <v>4376.0038380616861</v>
      </c>
      <c r="BD21" s="5">
        <f>BC21*(1+$R$26)</f>
        <v>4332.2437996810695</v>
      </c>
      <c r="BE21" s="5">
        <f>BD21*(1+$R$26)</f>
        <v>4288.921361684259</v>
      </c>
      <c r="BF21" s="5">
        <f>BE21*(1+$R$26)</f>
        <v>4246.0321480674165</v>
      </c>
      <c r="BG21" s="5">
        <f>BF21*(1+$R$26)</f>
        <v>4203.5718265867426</v>
      </c>
      <c r="BH21" s="5">
        <f>BG21*(1+$R$26)</f>
        <v>4161.5361083208754</v>
      </c>
      <c r="BI21" s="5">
        <f>BH21*(1+$R$26)</f>
        <v>4119.9207472376665</v>
      </c>
      <c r="BJ21" s="5">
        <f>BI21*(1+$R$26)</f>
        <v>4078.7215397652899</v>
      </c>
      <c r="BK21" s="5">
        <f>BJ21*(1+$R$26)</f>
        <v>4037.9343243676371</v>
      </c>
      <c r="BL21" s="5">
        <f>BK21*(1+$R$26)</f>
        <v>3997.5549811239607</v>
      </c>
      <c r="BM21" s="5">
        <f>BL21*(1+$R$26)</f>
        <v>3957.5794313127212</v>
      </c>
      <c r="BN21" s="5">
        <f>BM21*(1+$R$26)</f>
        <v>3918.0036369995942</v>
      </c>
      <c r="BO21" s="5">
        <f>BN21*(1+$R$26)</f>
        <v>3878.8236006295983</v>
      </c>
      <c r="BP21" s="5">
        <f>BO21*(1+$R$26)</f>
        <v>3840.0353646233025</v>
      </c>
      <c r="BQ21" s="5">
        <f>BP21*(1+$R$26)</f>
        <v>3801.6350109770692</v>
      </c>
      <c r="BR21" s="5">
        <f>BQ21*(1+$R$26)</f>
        <v>3763.6186608672983</v>
      </c>
      <c r="BS21" s="5">
        <f>BR21*(1+$R$26)</f>
        <v>3725.9824742586252</v>
      </c>
      <c r="BT21" s="5">
        <f>BS21*(1+$R$26)</f>
        <v>3688.7226495160389</v>
      </c>
      <c r="BU21" s="5">
        <f>BT21*(1+$R$26)</f>
        <v>3651.8354230208784</v>
      </c>
      <c r="BV21" s="5">
        <f>BU21*(1+$R$26)</f>
        <v>3615.3170687906695</v>
      </c>
      <c r="BW21" s="5">
        <f>BV21*(1+$R$26)</f>
        <v>3579.1638981027627</v>
      </c>
      <c r="BX21" s="5">
        <f>BW21*(1+$R$26)</f>
        <v>3543.3722591217352</v>
      </c>
      <c r="BY21" s="5">
        <f>BX21*(1+$R$26)</f>
        <v>3507.9385365305179</v>
      </c>
      <c r="BZ21" s="5">
        <f>BY21*(1+$R$26)</f>
        <v>3472.8591511652126</v>
      </c>
      <c r="CA21" s="5">
        <f>BZ21*(1+$R$26)</f>
        <v>3438.1305596535603</v>
      </c>
      <c r="CB21" s="5">
        <f>CA21*(1+$R$26)</f>
        <v>3403.7492540570247</v>
      </c>
      <c r="CC21" s="5">
        <f>CB21*(1+$R$26)</f>
        <v>3369.7117615164543</v>
      </c>
      <c r="CD21" s="5">
        <f>CC21*(1+$R$26)</f>
        <v>3336.0146439012897</v>
      </c>
      <c r="CE21" s="5">
        <f>CD21*(1+$R$26)</f>
        <v>3302.6544974622766</v>
      </c>
      <c r="CF21" s="5">
        <f>CE21*(1+$R$26)</f>
        <v>3269.6279524876536</v>
      </c>
      <c r="CG21" s="5">
        <f>CF21*(1+$R$26)</f>
        <v>3236.9316729627772</v>
      </c>
      <c r="CH21" s="5">
        <f>CG21*(1+$R$26)</f>
        <v>3204.5623562331493</v>
      </c>
      <c r="CI21" s="5">
        <f>CH21*(1+$R$26)</f>
        <v>3172.5167326708179</v>
      </c>
      <c r="CJ21" s="5">
        <f>CI21*(1+$R$26)</f>
        <v>3140.7915653441096</v>
      </c>
      <c r="CK21" s="5">
        <f>CJ21*(1+$R$26)</f>
        <v>3109.3836496906683</v>
      </c>
      <c r="CL21" s="5">
        <f>CK21*(1+$R$26)</f>
        <v>3078.2898131937618</v>
      </c>
      <c r="CM21" s="5">
        <f>CL21*(1+$R$26)</f>
        <v>3047.5069150618242</v>
      </c>
      <c r="CN21" s="5">
        <f>CM21*(1+$R$26)</f>
        <v>3017.0318459112059</v>
      </c>
      <c r="CO21" s="5">
        <f>CN21*(1+$R$26)</f>
        <v>2986.8615274520939</v>
      </c>
      <c r="CP21" s="5">
        <f>CO21*(1+$R$26)</f>
        <v>2956.9929121775731</v>
      </c>
      <c r="CQ21" s="5">
        <f>CP21*(1+$R$26)</f>
        <v>2927.4229830557974</v>
      </c>
      <c r="CR21" s="5">
        <f>CQ21*(1+$R$26)</f>
        <v>2898.1487532252395</v>
      </c>
      <c r="CS21" s="5">
        <f>CR21*(1+$R$26)</f>
        <v>2869.1672656929873</v>
      </c>
      <c r="CT21" s="5">
        <f>CS21*(1+$R$26)</f>
        <v>2840.4755930360575</v>
      </c>
      <c r="CU21" s="5">
        <f>CT21*(1+$R$26)</f>
        <v>2812.0708371056967</v>
      </c>
    </row>
    <row r="22" spans="2:99" x14ac:dyDescent="0.2">
      <c r="B22" s="3" t="s">
        <v>26</v>
      </c>
    </row>
    <row r="23" spans="2:99" x14ac:dyDescent="0.2">
      <c r="B23" s="3" t="s">
        <v>1</v>
      </c>
    </row>
    <row r="25" spans="2:99" s="5" customFormat="1" x14ac:dyDescent="0.2">
      <c r="B25" s="5" t="s">
        <v>27</v>
      </c>
      <c r="D25" s="7">
        <f>D3/C3-1</f>
        <v>-0.22866735819184369</v>
      </c>
      <c r="E25" s="7">
        <f>E3/D3-1</f>
        <v>-5.421665428035527E-2</v>
      </c>
      <c r="F25" s="7">
        <f t="shared" ref="F25:J25" si="33">F3/E3-1</f>
        <v>3.0000000000000027E-2</v>
      </c>
      <c r="G25" s="7">
        <f t="shared" si="33"/>
        <v>3.0000000000000027E-2</v>
      </c>
      <c r="H25" s="7">
        <f t="shared" si="33"/>
        <v>3.0000000000000027E-2</v>
      </c>
      <c r="I25" s="7">
        <f t="shared" si="33"/>
        <v>3.0000000000000027E-2</v>
      </c>
      <c r="J25" s="7">
        <f t="shared" si="33"/>
        <v>3.0000000000000027E-2</v>
      </c>
      <c r="K25" s="7">
        <f t="shared" ref="K25" si="34">K3/J3-1</f>
        <v>1.0000000000000009E-2</v>
      </c>
      <c r="L25" s="7">
        <f t="shared" ref="L25" si="35">L3/K3-1</f>
        <v>1.0000000000000009E-2</v>
      </c>
      <c r="M25" s="7">
        <f t="shared" ref="M25" si="36">M3/L3-1</f>
        <v>1.0000000000000009E-2</v>
      </c>
      <c r="N25" s="7">
        <f t="shared" ref="N25" si="37">N3/M3-1</f>
        <v>1.0000000000000009E-2</v>
      </c>
      <c r="O25" s="7">
        <f t="shared" ref="O25" si="38">O3/N3-1</f>
        <v>1.0000000000000009E-2</v>
      </c>
      <c r="Q25" s="3" t="s">
        <v>35</v>
      </c>
      <c r="R25" s="6">
        <v>0.02</v>
      </c>
    </row>
    <row r="26" spans="2:99" x14ac:dyDescent="0.2">
      <c r="Q26" s="3" t="s">
        <v>36</v>
      </c>
      <c r="R26" s="6">
        <v>-0.01</v>
      </c>
    </row>
    <row r="27" spans="2:99" s="5" customFormat="1" x14ac:dyDescent="0.2">
      <c r="B27" s="5" t="s">
        <v>28</v>
      </c>
      <c r="C27" s="7">
        <f>C9/C3</f>
        <v>0.67071572855816997</v>
      </c>
      <c r="D27" s="7">
        <f>D9/D3</f>
        <v>0.60070071132816649</v>
      </c>
      <c r="E27" s="7">
        <f>E9/E3</f>
        <v>0.63315247895229188</v>
      </c>
      <c r="F27" s="7">
        <v>0.62</v>
      </c>
      <c r="G27" s="7">
        <v>0.62</v>
      </c>
      <c r="H27" s="7">
        <v>0.62</v>
      </c>
      <c r="I27" s="7">
        <v>0.62</v>
      </c>
      <c r="J27" s="7">
        <v>0.62</v>
      </c>
      <c r="K27" s="7">
        <v>0.62</v>
      </c>
      <c r="L27" s="7">
        <v>0.62</v>
      </c>
      <c r="M27" s="7">
        <v>0.62</v>
      </c>
      <c r="N27" s="7">
        <v>0.62</v>
      </c>
      <c r="O27" s="7">
        <v>0.62</v>
      </c>
      <c r="Q27" s="3" t="s">
        <v>37</v>
      </c>
      <c r="R27" s="8">
        <v>7.4999999999999997E-2</v>
      </c>
    </row>
    <row r="28" spans="2:99" x14ac:dyDescent="0.2">
      <c r="B28" s="3" t="s">
        <v>29</v>
      </c>
      <c r="E28" s="6"/>
      <c r="Q28" s="3" t="s">
        <v>38</v>
      </c>
      <c r="R28" s="5">
        <f>NPV(R27,F33:XFD33)+Main!O5-Main!O6</f>
        <v>59510.412015741036</v>
      </c>
    </row>
    <row r="29" spans="2:99" x14ac:dyDescent="0.2">
      <c r="B29" s="3" t="s">
        <v>30</v>
      </c>
      <c r="Q29" s="3" t="s">
        <v>0</v>
      </c>
      <c r="R29" s="3">
        <f>R28/Main!O3</f>
        <v>63.410135339095405</v>
      </c>
    </row>
    <row r="30" spans="2:99" x14ac:dyDescent="0.2">
      <c r="Q30" s="3" t="s">
        <v>39</v>
      </c>
      <c r="R30" s="6">
        <f>R29/Main!O2-1</f>
        <v>0.40911411864656455</v>
      </c>
    </row>
    <row r="31" spans="2:99" x14ac:dyDescent="0.2">
      <c r="B31" s="3" t="s">
        <v>31</v>
      </c>
      <c r="C31" s="3">
        <v>16810</v>
      </c>
      <c r="D31" s="3">
        <v>12308</v>
      </c>
      <c r="E31" s="3">
        <v>11439</v>
      </c>
    </row>
    <row r="32" spans="2:99" x14ac:dyDescent="0.2">
      <c r="B32" s="3" t="s">
        <v>32</v>
      </c>
      <c r="C32" s="3">
        <v>4497</v>
      </c>
      <c r="D32" s="3">
        <v>6270</v>
      </c>
      <c r="E32" s="3">
        <v>7018</v>
      </c>
    </row>
    <row r="33" spans="2:100" s="5" customFormat="1" x14ac:dyDescent="0.2">
      <c r="B33" s="5" t="s">
        <v>33</v>
      </c>
      <c r="C33" s="5">
        <f>C31-C32</f>
        <v>12313</v>
      </c>
      <c r="D33" s="5">
        <f t="shared" ref="D33:E33" si="39">D31-D32</f>
        <v>6038</v>
      </c>
      <c r="E33" s="5">
        <f t="shared" si="39"/>
        <v>4421</v>
      </c>
      <c r="F33" s="5">
        <f>F21*1.1</f>
        <v>5116.8611999999994</v>
      </c>
      <c r="G33" s="5">
        <f>G21*1.1</f>
        <v>5372.188527199999</v>
      </c>
      <c r="H33" s="5">
        <f>H21*1.1</f>
        <v>5637.1203790352001</v>
      </c>
      <c r="I33" s="5">
        <f>I21*1.1</f>
        <v>5911.9886289601654</v>
      </c>
      <c r="J33" s="5">
        <f>J21*1.1</f>
        <v>6197.1363113340731</v>
      </c>
      <c r="K33" s="5">
        <f>K21*1.1</f>
        <v>6386.4437728004632</v>
      </c>
      <c r="L33" s="5">
        <f>L21*1.1</f>
        <v>6580.7891715259439</v>
      </c>
      <c r="M33" s="5">
        <f>M21*1.1</f>
        <v>6780.317504088237</v>
      </c>
      <c r="N33" s="5">
        <f>N21*1.1</f>
        <v>6985.1785028822569</v>
      </c>
      <c r="O33" s="5">
        <f>O21*1.1</f>
        <v>7195.5268069309186</v>
      </c>
      <c r="P33" s="5">
        <f>O33*(1+$R$26)</f>
        <v>7123.571538861609</v>
      </c>
      <c r="Q33" s="5">
        <f>P33*(1+$R$26)</f>
        <v>7052.3358234729931</v>
      </c>
      <c r="R33" s="5">
        <f>Q33*(1+$R$26)</f>
        <v>6981.812465238263</v>
      </c>
      <c r="S33" s="5">
        <f>R33*(1+$R$26)</f>
        <v>6911.9943405858803</v>
      </c>
      <c r="T33" s="5">
        <f>S33*(1+$R$26)</f>
        <v>6842.8743971800213</v>
      </c>
      <c r="U33" s="5">
        <f>T33*(1+$R$26)</f>
        <v>6774.4456532082213</v>
      </c>
      <c r="V33" s="5">
        <f>U33*(1+$R$26)</f>
        <v>6706.7011966761393</v>
      </c>
      <c r="W33" s="5">
        <f>V33*(1+$R$26)</f>
        <v>6639.6341847093781</v>
      </c>
      <c r="X33" s="5">
        <f>W33*(1+$R$26)</f>
        <v>6573.2378428622842</v>
      </c>
      <c r="Y33" s="5">
        <f>X33*(1+$R$26)</f>
        <v>6507.5054644336615</v>
      </c>
      <c r="Z33" s="5">
        <f>Y33*(1+$R$26)</f>
        <v>6442.4304097893246</v>
      </c>
      <c r="AA33" s="5">
        <f>Z33*(1+$R$26)</f>
        <v>6378.006105691431</v>
      </c>
      <c r="AB33" s="5">
        <f>AA33*(1+$R$26)</f>
        <v>6314.2260446345163</v>
      </c>
      <c r="AC33" s="5">
        <f>AB33*(1+$R$26)</f>
        <v>6251.0837841881712</v>
      </c>
      <c r="AD33" s="5">
        <f>AC33*(1+$R$26)</f>
        <v>6188.5729463462894</v>
      </c>
      <c r="AE33" s="5">
        <f>AD33*(1+$R$26)</f>
        <v>6126.6872168828268</v>
      </c>
      <c r="AF33" s="5">
        <f>AE33*(1+$R$26)</f>
        <v>6065.420344713998</v>
      </c>
      <c r="AG33" s="5">
        <f>AF33*(1+$R$26)</f>
        <v>6004.7661412668576</v>
      </c>
      <c r="AH33" s="5">
        <f>AG33*(1+$R$26)</f>
        <v>5944.7184798541894</v>
      </c>
      <c r="AI33" s="5">
        <f>AH33*(1+$R$26)</f>
        <v>5885.271295055647</v>
      </c>
      <c r="AJ33" s="5">
        <f>AI33*(1+$R$26)</f>
        <v>5826.4185821050905</v>
      </c>
      <c r="AK33" s="5">
        <f>AJ33*(1+$R$26)</f>
        <v>5768.1543962840396</v>
      </c>
      <c r="AL33" s="5">
        <f>AK33*(1+$R$26)</f>
        <v>5710.4728523211988</v>
      </c>
      <c r="AM33" s="5">
        <f>AL33*(1+$R$26)</f>
        <v>5653.3681237979872</v>
      </c>
      <c r="AN33" s="5">
        <f>AM33*(1+$R$26)</f>
        <v>5596.8344425600071</v>
      </c>
      <c r="AO33" s="5">
        <f>AN33*(1+$R$26)</f>
        <v>5540.8660981344074</v>
      </c>
      <c r="AP33" s="5">
        <f>AO33*(1+$R$26)</f>
        <v>5485.4574371530634</v>
      </c>
      <c r="AQ33" s="5">
        <f>AP33*(1+$R$26)</f>
        <v>5430.6028627815331</v>
      </c>
      <c r="AR33" s="5">
        <f>AQ33*(1+$R$26)</f>
        <v>5376.296834153718</v>
      </c>
      <c r="AS33" s="5">
        <f>AR33*(1+$R$26)</f>
        <v>5322.5338658121809</v>
      </c>
      <c r="AT33" s="5">
        <f>AS33*(1+$R$26)</f>
        <v>5269.3085271540594</v>
      </c>
      <c r="AU33" s="5">
        <f>AT33*(1+$R$26)</f>
        <v>5216.615441882519</v>
      </c>
      <c r="AV33" s="5">
        <f>AU33*(1+$R$26)</f>
        <v>5164.4492874636935</v>
      </c>
      <c r="AW33" s="5">
        <f>AV33*(1+$R$26)</f>
        <v>5112.8047945890567</v>
      </c>
      <c r="AX33" s="5">
        <f>AW33*(1+$R$26)</f>
        <v>5061.6767466431656</v>
      </c>
      <c r="AY33" s="5">
        <f>AX33*(1+$R$26)</f>
        <v>5011.0599791767336</v>
      </c>
      <c r="AZ33" s="5">
        <f>AY33*(1+$R$26)</f>
        <v>4960.9493793849661</v>
      </c>
      <c r="BA33" s="5">
        <f>AZ33*(1+$R$26)</f>
        <v>4911.3398855911164</v>
      </c>
      <c r="BB33" s="5">
        <f>BA33*(1+$R$26)</f>
        <v>4862.2264867352051</v>
      </c>
      <c r="BC33" s="5">
        <f>BB33*(1+$R$26)</f>
        <v>4813.6042218678531</v>
      </c>
      <c r="BD33" s="5">
        <f>BC33*(1+$R$26)</f>
        <v>4765.4681796491741</v>
      </c>
      <c r="BE33" s="5">
        <f>BD33*(1+$R$26)</f>
        <v>4717.8134978526823</v>
      </c>
      <c r="BF33" s="5">
        <f>BE33*(1+$R$26)</f>
        <v>4670.6353628741554</v>
      </c>
      <c r="BG33" s="5">
        <f>BF33*(1+$R$26)</f>
        <v>4623.9290092454139</v>
      </c>
      <c r="BH33" s="5">
        <f>BG33*(1+$R$26)</f>
        <v>4577.6897191529597</v>
      </c>
      <c r="BI33" s="5">
        <f>BH33*(1+$R$26)</f>
        <v>4531.9128219614304</v>
      </c>
      <c r="BJ33" s="5">
        <f>BI33*(1+$R$26)</f>
        <v>4486.5936937418164</v>
      </c>
      <c r="BK33" s="5">
        <f>BJ33*(1+$R$26)</f>
        <v>4441.7277568043983</v>
      </c>
      <c r="BL33" s="5">
        <f>BK33*(1+$R$26)</f>
        <v>4397.3104792363547</v>
      </c>
      <c r="BM33" s="5">
        <f>BL33*(1+$R$26)</f>
        <v>4353.3373744439914</v>
      </c>
      <c r="BN33" s="5">
        <f>BM33*(1+$R$26)</f>
        <v>4309.8040006995516</v>
      </c>
      <c r="BO33" s="5">
        <f>BN33*(1+$R$26)</f>
        <v>4266.7059606925559</v>
      </c>
      <c r="BP33" s="5">
        <f>BO33*(1+$R$26)</f>
        <v>4224.0389010856306</v>
      </c>
      <c r="BQ33" s="5">
        <f>BP33*(1+$R$26)</f>
        <v>4181.7985120747744</v>
      </c>
      <c r="BR33" s="5">
        <f>BQ33*(1+$R$26)</f>
        <v>4139.9805269540266</v>
      </c>
      <c r="BS33" s="5">
        <f>BR33*(1+$R$26)</f>
        <v>4098.580721684486</v>
      </c>
      <c r="BT33" s="5">
        <f>BS33*(1+$R$26)</f>
        <v>4057.594914467641</v>
      </c>
      <c r="BU33" s="5">
        <f>BT33*(1+$R$26)</f>
        <v>4017.0189653229645</v>
      </c>
      <c r="BV33" s="5">
        <f>BU33*(1+$R$26)</f>
        <v>3976.848775669735</v>
      </c>
      <c r="BW33" s="5">
        <f>BV33*(1+$R$26)</f>
        <v>3937.0802879130374</v>
      </c>
      <c r="BX33" s="5">
        <f>BW33*(1+$R$26)</f>
        <v>3897.7094850339072</v>
      </c>
      <c r="BY33" s="5">
        <f>BX33*(1+$R$26)</f>
        <v>3858.732390183568</v>
      </c>
      <c r="BZ33" s="5">
        <f>BY33*(1+$R$26)</f>
        <v>3820.1450662817324</v>
      </c>
      <c r="CA33" s="5">
        <f>BZ33*(1+$R$26)</f>
        <v>3781.9436156189149</v>
      </c>
      <c r="CB33" s="5">
        <f>CA33*(1+$R$26)</f>
        <v>3744.1241794627258</v>
      </c>
      <c r="CC33" s="5">
        <f>CB33*(1+$R$26)</f>
        <v>3706.6829376680985</v>
      </c>
      <c r="CD33" s="5">
        <f>CC33*(1+$R$26)</f>
        <v>3669.6161082914173</v>
      </c>
      <c r="CE33" s="5">
        <f>CD33*(1+$R$26)</f>
        <v>3632.9199472085029</v>
      </c>
      <c r="CF33" s="5">
        <f>CE33*(1+$R$26)</f>
        <v>3596.5907477364181</v>
      </c>
      <c r="CG33" s="5">
        <f>CF33*(1+$R$26)</f>
        <v>3560.6248402590541</v>
      </c>
      <c r="CH33" s="5">
        <f>CG33*(1+$R$26)</f>
        <v>3525.0185918564634</v>
      </c>
      <c r="CI33" s="5">
        <f>CH33*(1+$R$26)</f>
        <v>3489.7684059378989</v>
      </c>
      <c r="CJ33" s="5">
        <f>CI33*(1+$R$26)</f>
        <v>3454.8707218785198</v>
      </c>
      <c r="CK33" s="5">
        <f>CJ33*(1+$R$26)</f>
        <v>3420.3220146597346</v>
      </c>
      <c r="CL33" s="5">
        <f>CK33*(1+$R$26)</f>
        <v>3386.1187945131373</v>
      </c>
      <c r="CM33" s="5">
        <f>CL33*(1+$R$26)</f>
        <v>3352.2576065680059</v>
      </c>
      <c r="CN33" s="5">
        <f>CM33*(1+$R$26)</f>
        <v>3318.735030502326</v>
      </c>
      <c r="CO33" s="5">
        <f>CN33*(1+$R$26)</f>
        <v>3285.5476801973027</v>
      </c>
      <c r="CP33" s="5">
        <f>CO33*(1+$R$26)</f>
        <v>3252.6922033953297</v>
      </c>
      <c r="CQ33" s="5">
        <f>CP33*(1+$R$26)</f>
        <v>3220.1652813613764</v>
      </c>
      <c r="CR33" s="5">
        <f>CQ33*(1+$R$26)</f>
        <v>3187.9636285477627</v>
      </c>
      <c r="CS33" s="5">
        <f>CR33*(1+$R$26)</f>
        <v>3156.0839922622849</v>
      </c>
      <c r="CT33" s="5">
        <f>CS33*(1+$R$26)</f>
        <v>3124.5231523396619</v>
      </c>
      <c r="CU33" s="5">
        <f>CT33*(1+$R$26)</f>
        <v>3093.2779208162651</v>
      </c>
      <c r="CV33" s="5">
        <f>CU33*(1+$R$26)</f>
        <v>3062.3451416081025</v>
      </c>
    </row>
    <row r="34" spans="2:100" x14ac:dyDescent="0.2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00" x14ac:dyDescent="0.2">
      <c r="B35" s="3" t="s">
        <v>34</v>
      </c>
      <c r="E35" s="3">
        <f>E37-E39</f>
        <v>-22846</v>
      </c>
      <c r="F35" s="3">
        <f>E35+F21</f>
        <v>-18194.308000000001</v>
      </c>
      <c r="G35" s="3">
        <f>F35+G21</f>
        <v>-13310.500248000002</v>
      </c>
      <c r="H35" s="3">
        <f>G35+H21</f>
        <v>-8185.8453579680026</v>
      </c>
      <c r="I35" s="3">
        <f>H35+I21</f>
        <v>-2811.3102407314891</v>
      </c>
      <c r="J35" s="3">
        <f>I35+J21</f>
        <v>2822.4500422994861</v>
      </c>
      <c r="K35" s="3">
        <f>J35+K21</f>
        <v>8628.3080175726336</v>
      </c>
      <c r="L35" s="3">
        <f>K35+L21</f>
        <v>14610.843628050763</v>
      </c>
      <c r="M35" s="3">
        <f>L35+M21</f>
        <v>20774.768631767343</v>
      </c>
      <c r="N35" s="3">
        <f>M35+N21</f>
        <v>27124.930907114849</v>
      </c>
      <c r="O35" s="3">
        <f>N35+O21</f>
        <v>33666.318913415686</v>
      </c>
    </row>
    <row r="37" spans="2:100" x14ac:dyDescent="0.2">
      <c r="B37" s="3" t="s">
        <v>4</v>
      </c>
      <c r="E37" s="3">
        <v>2132</v>
      </c>
    </row>
    <row r="39" spans="2:100" x14ac:dyDescent="0.2">
      <c r="B39" s="3" t="s">
        <v>3</v>
      </c>
      <c r="E39" s="3">
        <v>24978</v>
      </c>
    </row>
  </sheetData>
  <hyperlinks>
    <hyperlink ref="A1" location="Main!A1" display="Main" xr:uid="{8242657D-F091-4CE8-B966-529994C2275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2025-04-21T19:34:33Z</dcterms:created>
  <dcterms:modified xsi:type="dcterms:W3CDTF">2025-06-17T03:16:37Z</dcterms:modified>
</cp:coreProperties>
</file>